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5805"/>
  </bookViews>
  <sheets>
    <sheet name="Budget vs. Actuals" sheetId="1" r:id="rId1"/>
  </sheets>
  <definedNames>
    <definedName name="_xlnm.Print_Titles" localSheetId="0">'Budget vs. Actuals'!$1:$6</definedName>
  </definedNames>
  <calcPr calcId="152511"/>
</workbook>
</file>

<file path=xl/calcChain.xml><?xml version="1.0" encoding="utf-8"?>
<calcChain xmlns="http://schemas.openxmlformats.org/spreadsheetml/2006/main">
  <c r="N21" i="1" l="1"/>
  <c r="AL21" i="1" s="1"/>
  <c r="O151" i="1" l="1"/>
  <c r="C151" i="1"/>
  <c r="O149" i="1"/>
  <c r="N149" i="1"/>
  <c r="P149" i="1" s="1"/>
  <c r="L149" i="1"/>
  <c r="L151" i="1" s="1"/>
  <c r="I149" i="1"/>
  <c r="I151" i="1" s="1"/>
  <c r="F149" i="1"/>
  <c r="F151" i="1" s="1"/>
  <c r="C149" i="1"/>
  <c r="B149" i="1"/>
  <c r="AM148" i="1"/>
  <c r="N148" i="1"/>
  <c r="M148" i="1"/>
  <c r="J148" i="1"/>
  <c r="G148" i="1"/>
  <c r="D148" i="1"/>
  <c r="AM147" i="1"/>
  <c r="P147" i="1"/>
  <c r="K147" i="1"/>
  <c r="K149" i="1" s="1"/>
  <c r="K151" i="1" s="1"/>
  <c r="M151" i="1" s="1"/>
  <c r="H147" i="1"/>
  <c r="H149" i="1" s="1"/>
  <c r="H151" i="1" s="1"/>
  <c r="J151" i="1" s="1"/>
  <c r="E147" i="1"/>
  <c r="G147" i="1" s="1"/>
  <c r="D147" i="1"/>
  <c r="AM146" i="1"/>
  <c r="AL146" i="1"/>
  <c r="P146" i="1"/>
  <c r="M146" i="1"/>
  <c r="J146" i="1"/>
  <c r="G146" i="1"/>
  <c r="D146" i="1"/>
  <c r="AM145" i="1"/>
  <c r="AL145" i="1"/>
  <c r="P145" i="1"/>
  <c r="M145" i="1"/>
  <c r="J145" i="1"/>
  <c r="G145" i="1"/>
  <c r="D145" i="1"/>
  <c r="O143" i="1"/>
  <c r="L143" i="1"/>
  <c r="I143" i="1"/>
  <c r="H143" i="1"/>
  <c r="F143" i="1"/>
  <c r="C143" i="1"/>
  <c r="AM142" i="1"/>
  <c r="N142" i="1"/>
  <c r="P142" i="1" s="1"/>
  <c r="K142" i="1"/>
  <c r="M142" i="1" s="1"/>
  <c r="H142" i="1"/>
  <c r="J142" i="1" s="1"/>
  <c r="E142" i="1"/>
  <c r="B142" i="1"/>
  <c r="AM141" i="1"/>
  <c r="P141" i="1"/>
  <c r="K141" i="1"/>
  <c r="J141" i="1"/>
  <c r="G141" i="1"/>
  <c r="D141" i="1"/>
  <c r="AM140" i="1"/>
  <c r="AL140" i="1"/>
  <c r="P140" i="1"/>
  <c r="M140" i="1"/>
  <c r="J140" i="1"/>
  <c r="G140" i="1"/>
  <c r="D140" i="1"/>
  <c r="O138" i="1"/>
  <c r="N138" i="1"/>
  <c r="L138" i="1"/>
  <c r="I138" i="1"/>
  <c r="I153" i="1" s="1"/>
  <c r="F138" i="1"/>
  <c r="C138" i="1"/>
  <c r="C153" i="1" s="1"/>
  <c r="AM137" i="1"/>
  <c r="P137" i="1"/>
  <c r="N137" i="1"/>
  <c r="K137" i="1"/>
  <c r="M137" i="1" s="1"/>
  <c r="H137" i="1"/>
  <c r="J137" i="1" s="1"/>
  <c r="E137" i="1"/>
  <c r="G137" i="1" s="1"/>
  <c r="B137" i="1"/>
  <c r="D137" i="1" s="1"/>
  <c r="AM136" i="1"/>
  <c r="N136" i="1"/>
  <c r="P136" i="1" s="1"/>
  <c r="K136" i="1"/>
  <c r="H136" i="1"/>
  <c r="J136" i="1" s="1"/>
  <c r="E136" i="1"/>
  <c r="D136" i="1"/>
  <c r="B136" i="1"/>
  <c r="AM135" i="1"/>
  <c r="AL135" i="1"/>
  <c r="P135" i="1"/>
  <c r="M135" i="1"/>
  <c r="J135" i="1"/>
  <c r="G135" i="1"/>
  <c r="D135" i="1"/>
  <c r="O130" i="1"/>
  <c r="L130" i="1"/>
  <c r="K130" i="1"/>
  <c r="M130" i="1" s="1"/>
  <c r="I130" i="1"/>
  <c r="H130" i="1"/>
  <c r="F130" i="1"/>
  <c r="F132" i="1" s="1"/>
  <c r="E130" i="1"/>
  <c r="C130" i="1"/>
  <c r="AM129" i="1"/>
  <c r="N129" i="1"/>
  <c r="M129" i="1"/>
  <c r="J129" i="1"/>
  <c r="G129" i="1"/>
  <c r="B129" i="1"/>
  <c r="AM128" i="1"/>
  <c r="AL128" i="1"/>
  <c r="AN128" i="1" s="1"/>
  <c r="P128" i="1"/>
  <c r="M128" i="1"/>
  <c r="J128" i="1"/>
  <c r="G128" i="1"/>
  <c r="D128" i="1"/>
  <c r="AM126" i="1"/>
  <c r="P126" i="1"/>
  <c r="N126" i="1"/>
  <c r="M126" i="1"/>
  <c r="K126" i="1"/>
  <c r="J126" i="1"/>
  <c r="H126" i="1"/>
  <c r="G126" i="1"/>
  <c r="E126" i="1"/>
  <c r="D126" i="1"/>
  <c r="B126" i="1"/>
  <c r="AM125" i="1"/>
  <c r="N125" i="1"/>
  <c r="AL125" i="1" s="1"/>
  <c r="M125" i="1"/>
  <c r="J125" i="1"/>
  <c r="G125" i="1"/>
  <c r="D125" i="1"/>
  <c r="O123" i="1"/>
  <c r="L123" i="1"/>
  <c r="L132" i="1" s="1"/>
  <c r="I123" i="1"/>
  <c r="F123" i="1"/>
  <c r="C123" i="1"/>
  <c r="AM122" i="1"/>
  <c r="P122" i="1"/>
  <c r="N122" i="1"/>
  <c r="K122" i="1"/>
  <c r="M122" i="1" s="1"/>
  <c r="H122" i="1"/>
  <c r="J122" i="1" s="1"/>
  <c r="E122" i="1"/>
  <c r="G122" i="1" s="1"/>
  <c r="B122" i="1"/>
  <c r="D122" i="1" s="1"/>
  <c r="AM121" i="1"/>
  <c r="N121" i="1"/>
  <c r="P121" i="1" s="1"/>
  <c r="K121" i="1"/>
  <c r="M121" i="1" s="1"/>
  <c r="H121" i="1"/>
  <c r="J121" i="1" s="1"/>
  <c r="E121" i="1"/>
  <c r="B121" i="1"/>
  <c r="AM120" i="1"/>
  <c r="AL120" i="1"/>
  <c r="P120" i="1"/>
  <c r="M120" i="1"/>
  <c r="J120" i="1"/>
  <c r="G120" i="1"/>
  <c r="D120" i="1"/>
  <c r="O112" i="1"/>
  <c r="P112" i="1" s="1"/>
  <c r="N112" i="1"/>
  <c r="L112" i="1"/>
  <c r="K112" i="1"/>
  <c r="M112" i="1" s="1"/>
  <c r="I112" i="1"/>
  <c r="H112" i="1"/>
  <c r="F112" i="1"/>
  <c r="E112" i="1"/>
  <c r="C112" i="1"/>
  <c r="B112" i="1"/>
  <c r="D112" i="1" s="1"/>
  <c r="O109" i="1"/>
  <c r="N109" i="1"/>
  <c r="P109" i="1" s="1"/>
  <c r="M109" i="1"/>
  <c r="L109" i="1"/>
  <c r="K109" i="1"/>
  <c r="J109" i="1"/>
  <c r="I109" i="1"/>
  <c r="H109" i="1"/>
  <c r="F109" i="1"/>
  <c r="E109" i="1"/>
  <c r="G109" i="1" s="1"/>
  <c r="C109" i="1"/>
  <c r="B109" i="1"/>
  <c r="O108" i="1"/>
  <c r="N108" i="1"/>
  <c r="L108" i="1"/>
  <c r="K108" i="1"/>
  <c r="M108" i="1" s="1"/>
  <c r="J108" i="1"/>
  <c r="I108" i="1"/>
  <c r="H108" i="1"/>
  <c r="F108" i="1"/>
  <c r="E108" i="1"/>
  <c r="G108" i="1" s="1"/>
  <c r="C108" i="1"/>
  <c r="B108" i="1"/>
  <c r="O107" i="1"/>
  <c r="N107" i="1"/>
  <c r="L107" i="1"/>
  <c r="K107" i="1"/>
  <c r="M107" i="1" s="1"/>
  <c r="I107" i="1"/>
  <c r="H107" i="1"/>
  <c r="J107" i="1" s="1"/>
  <c r="F107" i="1"/>
  <c r="E107" i="1"/>
  <c r="C107" i="1"/>
  <c r="B107" i="1"/>
  <c r="O106" i="1"/>
  <c r="N106" i="1"/>
  <c r="P106" i="1" s="1"/>
  <c r="M106" i="1"/>
  <c r="L106" i="1"/>
  <c r="L110" i="1" s="1"/>
  <c r="K106" i="1"/>
  <c r="I106" i="1"/>
  <c r="I110" i="1" s="1"/>
  <c r="H106" i="1"/>
  <c r="F106" i="1"/>
  <c r="E106" i="1"/>
  <c r="C106" i="1"/>
  <c r="B106" i="1"/>
  <c r="AM105" i="1"/>
  <c r="AL105" i="1"/>
  <c r="AN105" i="1" s="1"/>
  <c r="P105" i="1"/>
  <c r="M105" i="1"/>
  <c r="J105" i="1"/>
  <c r="G105" i="1"/>
  <c r="D105" i="1"/>
  <c r="O102" i="1"/>
  <c r="P102" i="1" s="1"/>
  <c r="N102" i="1"/>
  <c r="L102" i="1"/>
  <c r="K102" i="1"/>
  <c r="M102" i="1" s="1"/>
  <c r="I102" i="1"/>
  <c r="H102" i="1"/>
  <c r="F102" i="1"/>
  <c r="E102" i="1"/>
  <c r="G102" i="1" s="1"/>
  <c r="C102" i="1"/>
  <c r="B102" i="1"/>
  <c r="D102" i="1" s="1"/>
  <c r="O101" i="1"/>
  <c r="P101" i="1" s="1"/>
  <c r="L101" i="1"/>
  <c r="K101" i="1"/>
  <c r="I101" i="1"/>
  <c r="H101" i="1"/>
  <c r="J101" i="1" s="1"/>
  <c r="G101" i="1"/>
  <c r="F101" i="1"/>
  <c r="E101" i="1"/>
  <c r="C101" i="1"/>
  <c r="AM101" i="1" s="1"/>
  <c r="B101" i="1"/>
  <c r="O100" i="1"/>
  <c r="N100" i="1"/>
  <c r="P100" i="1" s="1"/>
  <c r="L100" i="1"/>
  <c r="K100" i="1"/>
  <c r="I100" i="1"/>
  <c r="H100" i="1"/>
  <c r="J100" i="1" s="1"/>
  <c r="G100" i="1"/>
  <c r="F100" i="1"/>
  <c r="E100" i="1"/>
  <c r="C100" i="1"/>
  <c r="D100" i="1" s="1"/>
  <c r="B100" i="1"/>
  <c r="O99" i="1"/>
  <c r="P99" i="1" s="1"/>
  <c r="L99" i="1"/>
  <c r="K99" i="1"/>
  <c r="I99" i="1"/>
  <c r="H99" i="1"/>
  <c r="J99" i="1" s="1"/>
  <c r="F99" i="1"/>
  <c r="E99" i="1"/>
  <c r="G99" i="1" s="1"/>
  <c r="C99" i="1"/>
  <c r="B99" i="1"/>
  <c r="O98" i="1"/>
  <c r="N98" i="1"/>
  <c r="L98" i="1"/>
  <c r="M98" i="1" s="1"/>
  <c r="J98" i="1"/>
  <c r="I98" i="1"/>
  <c r="H98" i="1"/>
  <c r="F98" i="1"/>
  <c r="E98" i="1"/>
  <c r="C98" i="1"/>
  <c r="D98" i="1" s="1"/>
  <c r="O97" i="1"/>
  <c r="N97" i="1"/>
  <c r="L97" i="1"/>
  <c r="K97" i="1"/>
  <c r="M97" i="1" s="1"/>
  <c r="I97" i="1"/>
  <c r="J97" i="1" s="1"/>
  <c r="H97" i="1"/>
  <c r="F97" i="1"/>
  <c r="E97" i="1"/>
  <c r="G97" i="1" s="1"/>
  <c r="C97" i="1"/>
  <c r="B97" i="1"/>
  <c r="P96" i="1"/>
  <c r="O96" i="1"/>
  <c r="L96" i="1"/>
  <c r="M96" i="1" s="1"/>
  <c r="I96" i="1"/>
  <c r="J96" i="1" s="1"/>
  <c r="F96" i="1"/>
  <c r="G96" i="1" s="1"/>
  <c r="C96" i="1"/>
  <c r="B96" i="1"/>
  <c r="O95" i="1"/>
  <c r="P95" i="1" s="1"/>
  <c r="M95" i="1"/>
  <c r="L95" i="1"/>
  <c r="I95" i="1"/>
  <c r="J95" i="1" s="1"/>
  <c r="G95" i="1"/>
  <c r="F95" i="1"/>
  <c r="C95" i="1"/>
  <c r="B95" i="1"/>
  <c r="AL95" i="1" s="1"/>
  <c r="AL94" i="1"/>
  <c r="P94" i="1"/>
  <c r="O94" i="1"/>
  <c r="M94" i="1"/>
  <c r="L94" i="1"/>
  <c r="J94" i="1"/>
  <c r="I94" i="1"/>
  <c r="G94" i="1"/>
  <c r="F94" i="1"/>
  <c r="D94" i="1"/>
  <c r="C94" i="1"/>
  <c r="AM94" i="1" s="1"/>
  <c r="AN94" i="1" s="1"/>
  <c r="O93" i="1"/>
  <c r="P93" i="1" s="1"/>
  <c r="N93" i="1"/>
  <c r="L93" i="1"/>
  <c r="K93" i="1"/>
  <c r="I93" i="1"/>
  <c r="H93" i="1"/>
  <c r="F93" i="1"/>
  <c r="E93" i="1"/>
  <c r="G93" i="1" s="1"/>
  <c r="C93" i="1"/>
  <c r="B93" i="1"/>
  <c r="D93" i="1" s="1"/>
  <c r="O92" i="1"/>
  <c r="N92" i="1"/>
  <c r="L92" i="1"/>
  <c r="M92" i="1" s="1"/>
  <c r="K92" i="1"/>
  <c r="I92" i="1"/>
  <c r="H92" i="1"/>
  <c r="F92" i="1"/>
  <c r="E92" i="1"/>
  <c r="C92" i="1"/>
  <c r="B92" i="1"/>
  <c r="P91" i="1"/>
  <c r="O91" i="1"/>
  <c r="N91" i="1"/>
  <c r="L91" i="1"/>
  <c r="M91" i="1" s="1"/>
  <c r="K91" i="1"/>
  <c r="AL91" i="1" s="1"/>
  <c r="I91" i="1"/>
  <c r="J91" i="1" s="1"/>
  <c r="F91" i="1"/>
  <c r="G91" i="1" s="1"/>
  <c r="C91" i="1"/>
  <c r="D91" i="1" s="1"/>
  <c r="O90" i="1"/>
  <c r="P90" i="1" s="1"/>
  <c r="L90" i="1"/>
  <c r="M90" i="1" s="1"/>
  <c r="I90" i="1"/>
  <c r="H90" i="1"/>
  <c r="AL90" i="1" s="1"/>
  <c r="G90" i="1"/>
  <c r="F90" i="1"/>
  <c r="C90" i="1"/>
  <c r="AL89" i="1"/>
  <c r="O89" i="1"/>
  <c r="P89" i="1" s="1"/>
  <c r="L89" i="1"/>
  <c r="I89" i="1"/>
  <c r="J89" i="1" s="1"/>
  <c r="G89" i="1"/>
  <c r="F89" i="1"/>
  <c r="C89" i="1"/>
  <c r="O88" i="1"/>
  <c r="N88" i="1"/>
  <c r="L88" i="1"/>
  <c r="M88" i="1" s="1"/>
  <c r="K88" i="1"/>
  <c r="I88" i="1"/>
  <c r="H88" i="1"/>
  <c r="F88" i="1"/>
  <c r="F103" i="1" s="1"/>
  <c r="E88" i="1"/>
  <c r="C88" i="1"/>
  <c r="B88" i="1"/>
  <c r="D88" i="1" s="1"/>
  <c r="AM87" i="1"/>
  <c r="AL87" i="1"/>
  <c r="P87" i="1"/>
  <c r="M87" i="1"/>
  <c r="J87" i="1"/>
  <c r="G87" i="1"/>
  <c r="D87" i="1"/>
  <c r="O84" i="1"/>
  <c r="N84" i="1"/>
  <c r="P84" i="1" s="1"/>
  <c r="L84" i="1"/>
  <c r="K84" i="1"/>
  <c r="I84" i="1"/>
  <c r="H84" i="1"/>
  <c r="F84" i="1"/>
  <c r="E84" i="1"/>
  <c r="G84" i="1" s="1"/>
  <c r="C84" i="1"/>
  <c r="AM84" i="1" s="1"/>
  <c r="B84" i="1"/>
  <c r="O83" i="1"/>
  <c r="N83" i="1"/>
  <c r="L83" i="1"/>
  <c r="K83" i="1"/>
  <c r="M83" i="1" s="1"/>
  <c r="I83" i="1"/>
  <c r="H83" i="1"/>
  <c r="F83" i="1"/>
  <c r="G83" i="1" s="1"/>
  <c r="E83" i="1"/>
  <c r="C83" i="1"/>
  <c r="B83" i="1"/>
  <c r="O82" i="1"/>
  <c r="M82" i="1"/>
  <c r="L82" i="1"/>
  <c r="K82" i="1"/>
  <c r="I82" i="1"/>
  <c r="J82" i="1" s="1"/>
  <c r="F82" i="1"/>
  <c r="AM82" i="1" s="1"/>
  <c r="E82" i="1"/>
  <c r="C82" i="1"/>
  <c r="B82" i="1"/>
  <c r="AL82" i="1" s="1"/>
  <c r="O81" i="1"/>
  <c r="N81" i="1"/>
  <c r="L81" i="1"/>
  <c r="M81" i="1" s="1"/>
  <c r="K81" i="1"/>
  <c r="I81" i="1"/>
  <c r="H81" i="1"/>
  <c r="H85" i="1" s="1"/>
  <c r="F81" i="1"/>
  <c r="E81" i="1"/>
  <c r="C81" i="1"/>
  <c r="B81" i="1"/>
  <c r="AL80" i="1"/>
  <c r="P80" i="1"/>
  <c r="O80" i="1"/>
  <c r="L80" i="1"/>
  <c r="J80" i="1"/>
  <c r="I80" i="1"/>
  <c r="F80" i="1"/>
  <c r="D80" i="1"/>
  <c r="C80" i="1"/>
  <c r="AM79" i="1"/>
  <c r="AL79" i="1"/>
  <c r="P79" i="1"/>
  <c r="M79" i="1"/>
  <c r="J79" i="1"/>
  <c r="G79" i="1"/>
  <c r="D79" i="1"/>
  <c r="B77" i="1"/>
  <c r="O76" i="1"/>
  <c r="N76" i="1"/>
  <c r="P76" i="1" s="1"/>
  <c r="L76" i="1"/>
  <c r="K76" i="1"/>
  <c r="J76" i="1"/>
  <c r="I76" i="1"/>
  <c r="H76" i="1"/>
  <c r="H77" i="1" s="1"/>
  <c r="F76" i="1"/>
  <c r="E76" i="1"/>
  <c r="E77" i="1" s="1"/>
  <c r="C76" i="1"/>
  <c r="B76" i="1"/>
  <c r="AM75" i="1"/>
  <c r="N75" i="1"/>
  <c r="AL75" i="1" s="1"/>
  <c r="AN75" i="1" s="1"/>
  <c r="M75" i="1"/>
  <c r="J75" i="1"/>
  <c r="G75" i="1"/>
  <c r="D75" i="1"/>
  <c r="AL74" i="1"/>
  <c r="O74" i="1"/>
  <c r="P74" i="1" s="1"/>
  <c r="L74" i="1"/>
  <c r="L77" i="1" s="1"/>
  <c r="I74" i="1"/>
  <c r="J74" i="1" s="1"/>
  <c r="G74" i="1"/>
  <c r="F74" i="1"/>
  <c r="C74" i="1"/>
  <c r="C77" i="1" s="1"/>
  <c r="AN73" i="1"/>
  <c r="AM73" i="1"/>
  <c r="AL73" i="1"/>
  <c r="P73" i="1"/>
  <c r="M73" i="1"/>
  <c r="J73" i="1"/>
  <c r="G73" i="1"/>
  <c r="D73" i="1"/>
  <c r="H71" i="1"/>
  <c r="J71" i="1" s="1"/>
  <c r="C71" i="1"/>
  <c r="O70" i="1"/>
  <c r="N70" i="1"/>
  <c r="L70" i="1"/>
  <c r="K70" i="1"/>
  <c r="J70" i="1"/>
  <c r="I70" i="1"/>
  <c r="H70" i="1"/>
  <c r="F70" i="1"/>
  <c r="E70" i="1"/>
  <c r="E71" i="1" s="1"/>
  <c r="C70" i="1"/>
  <c r="B70" i="1"/>
  <c r="B71" i="1" s="1"/>
  <c r="AL69" i="1"/>
  <c r="O69" i="1"/>
  <c r="P69" i="1" s="1"/>
  <c r="L69" i="1"/>
  <c r="M69" i="1" s="1"/>
  <c r="J69" i="1"/>
  <c r="I69" i="1"/>
  <c r="I71" i="1" s="1"/>
  <c r="F69" i="1"/>
  <c r="G69" i="1" s="1"/>
  <c r="D69" i="1"/>
  <c r="C69" i="1"/>
  <c r="AM69" i="1" s="1"/>
  <c r="AM68" i="1"/>
  <c r="AL68" i="1"/>
  <c r="P68" i="1"/>
  <c r="M68" i="1"/>
  <c r="J68" i="1"/>
  <c r="G68" i="1"/>
  <c r="D68" i="1"/>
  <c r="K66" i="1"/>
  <c r="B66" i="1"/>
  <c r="AL65" i="1"/>
  <c r="O65" i="1"/>
  <c r="P65" i="1" s="1"/>
  <c r="L65" i="1"/>
  <c r="M65" i="1" s="1"/>
  <c r="J65" i="1"/>
  <c r="I65" i="1"/>
  <c r="F65" i="1"/>
  <c r="G65" i="1" s="1"/>
  <c r="C65" i="1"/>
  <c r="AM65" i="1" s="1"/>
  <c r="AN65" i="1" s="1"/>
  <c r="O64" i="1"/>
  <c r="O66" i="1" s="1"/>
  <c r="N64" i="1"/>
  <c r="N66" i="1" s="1"/>
  <c r="L64" i="1"/>
  <c r="K64" i="1"/>
  <c r="I64" i="1"/>
  <c r="H64" i="1"/>
  <c r="H66" i="1" s="1"/>
  <c r="F64" i="1"/>
  <c r="F66" i="1" s="1"/>
  <c r="E64" i="1"/>
  <c r="E66" i="1" s="1"/>
  <c r="G66" i="1" s="1"/>
  <c r="D64" i="1"/>
  <c r="C64" i="1"/>
  <c r="AM63" i="1"/>
  <c r="AL63" i="1"/>
  <c r="AN63" i="1" s="1"/>
  <c r="P63" i="1"/>
  <c r="M63" i="1"/>
  <c r="J63" i="1"/>
  <c r="G63" i="1"/>
  <c r="D63" i="1"/>
  <c r="P60" i="1"/>
  <c r="O60" i="1"/>
  <c r="N60" i="1"/>
  <c r="L60" i="1"/>
  <c r="M60" i="1" s="1"/>
  <c r="K60" i="1"/>
  <c r="I60" i="1"/>
  <c r="H60" i="1"/>
  <c r="J60" i="1" s="1"/>
  <c r="G60" i="1"/>
  <c r="F60" i="1"/>
  <c r="E60" i="1"/>
  <c r="C60" i="1"/>
  <c r="AM60" i="1" s="1"/>
  <c r="B60" i="1"/>
  <c r="B61" i="1" s="1"/>
  <c r="O59" i="1"/>
  <c r="P59" i="1" s="1"/>
  <c r="L59" i="1"/>
  <c r="M59" i="1" s="1"/>
  <c r="I59" i="1"/>
  <c r="J59" i="1" s="1"/>
  <c r="F59" i="1"/>
  <c r="E59" i="1"/>
  <c r="AL59" i="1" s="1"/>
  <c r="D59" i="1"/>
  <c r="C59" i="1"/>
  <c r="AL58" i="1"/>
  <c r="O58" i="1"/>
  <c r="P58" i="1" s="1"/>
  <c r="L58" i="1"/>
  <c r="M58" i="1" s="1"/>
  <c r="I58" i="1"/>
  <c r="J58" i="1" s="1"/>
  <c r="F58" i="1"/>
  <c r="G58" i="1" s="1"/>
  <c r="C58" i="1"/>
  <c r="AL57" i="1"/>
  <c r="O57" i="1"/>
  <c r="P57" i="1" s="1"/>
  <c r="M57" i="1"/>
  <c r="L57" i="1"/>
  <c r="I57" i="1"/>
  <c r="J57" i="1" s="1"/>
  <c r="F57" i="1"/>
  <c r="G57" i="1" s="1"/>
  <c r="C57" i="1"/>
  <c r="O56" i="1"/>
  <c r="N56" i="1"/>
  <c r="L56" i="1"/>
  <c r="K56" i="1"/>
  <c r="I56" i="1"/>
  <c r="H56" i="1"/>
  <c r="G56" i="1"/>
  <c r="F56" i="1"/>
  <c r="C56" i="1"/>
  <c r="AM56" i="1" s="1"/>
  <c r="AM55" i="1"/>
  <c r="AL55" i="1"/>
  <c r="AN55" i="1" s="1"/>
  <c r="P55" i="1"/>
  <c r="M55" i="1"/>
  <c r="J55" i="1"/>
  <c r="G55" i="1"/>
  <c r="D55" i="1"/>
  <c r="B53" i="1"/>
  <c r="O52" i="1"/>
  <c r="P52" i="1" s="1"/>
  <c r="M52" i="1"/>
  <c r="L52" i="1"/>
  <c r="I52" i="1"/>
  <c r="H52" i="1"/>
  <c r="J52" i="1" s="1"/>
  <c r="F52" i="1"/>
  <c r="G52" i="1" s="1"/>
  <c r="C52" i="1"/>
  <c r="O51" i="1"/>
  <c r="N51" i="1"/>
  <c r="P51" i="1" s="1"/>
  <c r="L51" i="1"/>
  <c r="M51" i="1" s="1"/>
  <c r="I51" i="1"/>
  <c r="J51" i="1" s="1"/>
  <c r="H51" i="1"/>
  <c r="F51" i="1"/>
  <c r="E51" i="1"/>
  <c r="G51" i="1" s="1"/>
  <c r="C51" i="1"/>
  <c r="D51" i="1" s="1"/>
  <c r="AL50" i="1"/>
  <c r="O50" i="1"/>
  <c r="P50" i="1" s="1"/>
  <c r="L50" i="1"/>
  <c r="M50" i="1" s="1"/>
  <c r="J50" i="1"/>
  <c r="I50" i="1"/>
  <c r="F50" i="1"/>
  <c r="F53" i="1" s="1"/>
  <c r="D50" i="1"/>
  <c r="C50" i="1"/>
  <c r="AM50" i="1" s="1"/>
  <c r="O49" i="1"/>
  <c r="N49" i="1"/>
  <c r="L49" i="1"/>
  <c r="L53" i="1" s="1"/>
  <c r="K49" i="1"/>
  <c r="I49" i="1"/>
  <c r="H49" i="1"/>
  <c r="AL49" i="1" s="1"/>
  <c r="G49" i="1"/>
  <c r="F49" i="1"/>
  <c r="C49" i="1"/>
  <c r="D49" i="1" s="1"/>
  <c r="AM48" i="1"/>
  <c r="AL48" i="1"/>
  <c r="P48" i="1"/>
  <c r="M48" i="1"/>
  <c r="J48" i="1"/>
  <c r="G48" i="1"/>
  <c r="D48" i="1"/>
  <c r="O41" i="1"/>
  <c r="N41" i="1"/>
  <c r="L41" i="1"/>
  <c r="K41" i="1"/>
  <c r="M41" i="1" s="1"/>
  <c r="I41" i="1"/>
  <c r="H41" i="1"/>
  <c r="J41" i="1" s="1"/>
  <c r="F41" i="1"/>
  <c r="G41" i="1" s="1"/>
  <c r="E41" i="1"/>
  <c r="C41" i="1"/>
  <c r="B41" i="1"/>
  <c r="O38" i="1"/>
  <c r="N38" i="1"/>
  <c r="L38" i="1"/>
  <c r="K38" i="1"/>
  <c r="M38" i="1" s="1"/>
  <c r="I38" i="1"/>
  <c r="J38" i="1" s="1"/>
  <c r="H38" i="1"/>
  <c r="F38" i="1"/>
  <c r="E38" i="1"/>
  <c r="G38" i="1" s="1"/>
  <c r="C38" i="1"/>
  <c r="B38" i="1"/>
  <c r="O37" i="1"/>
  <c r="N37" i="1"/>
  <c r="P37" i="1" s="1"/>
  <c r="M37" i="1"/>
  <c r="L37" i="1"/>
  <c r="I37" i="1"/>
  <c r="J37" i="1" s="1"/>
  <c r="F37" i="1"/>
  <c r="G37" i="1" s="1"/>
  <c r="E37" i="1"/>
  <c r="C37" i="1"/>
  <c r="O36" i="1"/>
  <c r="N36" i="1"/>
  <c r="L36" i="1"/>
  <c r="K36" i="1"/>
  <c r="I36" i="1"/>
  <c r="H36" i="1"/>
  <c r="H39" i="1" s="1"/>
  <c r="F36" i="1"/>
  <c r="E36" i="1"/>
  <c r="C36" i="1"/>
  <c r="B36" i="1"/>
  <c r="AM35" i="1"/>
  <c r="AL35" i="1"/>
  <c r="P35" i="1"/>
  <c r="M35" i="1"/>
  <c r="J35" i="1"/>
  <c r="G35" i="1"/>
  <c r="D35" i="1"/>
  <c r="AM33" i="1"/>
  <c r="P33" i="1"/>
  <c r="M33" i="1"/>
  <c r="J33" i="1"/>
  <c r="G33" i="1"/>
  <c r="B33" i="1"/>
  <c r="AL32" i="1"/>
  <c r="O32" i="1"/>
  <c r="P32" i="1" s="1"/>
  <c r="L32" i="1"/>
  <c r="M32" i="1" s="1"/>
  <c r="I32" i="1"/>
  <c r="J32" i="1" s="1"/>
  <c r="G32" i="1"/>
  <c r="F32" i="1"/>
  <c r="C32" i="1"/>
  <c r="AL29" i="1"/>
  <c r="O29" i="1"/>
  <c r="P29" i="1" s="1"/>
  <c r="L29" i="1"/>
  <c r="M29" i="1" s="1"/>
  <c r="I29" i="1"/>
  <c r="J29" i="1" s="1"/>
  <c r="F29" i="1"/>
  <c r="G29" i="1" s="1"/>
  <c r="D29" i="1"/>
  <c r="C29" i="1"/>
  <c r="O28" i="1"/>
  <c r="N28" i="1"/>
  <c r="N30" i="1" s="1"/>
  <c r="L28" i="1"/>
  <c r="L30" i="1" s="1"/>
  <c r="K28" i="1"/>
  <c r="I28" i="1"/>
  <c r="I30" i="1" s="1"/>
  <c r="H28" i="1"/>
  <c r="J28" i="1" s="1"/>
  <c r="F28" i="1"/>
  <c r="E28" i="1"/>
  <c r="E30" i="1" s="1"/>
  <c r="C28" i="1"/>
  <c r="B28" i="1"/>
  <c r="B30" i="1" s="1"/>
  <c r="AM27" i="1"/>
  <c r="AL27" i="1"/>
  <c r="AN27" i="1" s="1"/>
  <c r="P27" i="1"/>
  <c r="M27" i="1"/>
  <c r="J27" i="1"/>
  <c r="G27" i="1"/>
  <c r="D27" i="1"/>
  <c r="AM25" i="1"/>
  <c r="N25" i="1"/>
  <c r="M25" i="1"/>
  <c r="K25" i="1"/>
  <c r="J25" i="1"/>
  <c r="G25" i="1"/>
  <c r="D25" i="1"/>
  <c r="E23" i="1"/>
  <c r="B23" i="1"/>
  <c r="AL22" i="1"/>
  <c r="O22" i="1"/>
  <c r="P22" i="1" s="1"/>
  <c r="M22" i="1"/>
  <c r="L22" i="1"/>
  <c r="I22" i="1"/>
  <c r="J22" i="1" s="1"/>
  <c r="G22" i="1"/>
  <c r="F22" i="1"/>
  <c r="C22" i="1"/>
  <c r="O21" i="1"/>
  <c r="N23" i="1"/>
  <c r="L21" i="1"/>
  <c r="M21" i="1" s="1"/>
  <c r="K21" i="1"/>
  <c r="K23" i="1" s="1"/>
  <c r="H21" i="1"/>
  <c r="J21" i="1" s="1"/>
  <c r="F21" i="1"/>
  <c r="G21" i="1" s="1"/>
  <c r="C21" i="1"/>
  <c r="AL20" i="1"/>
  <c r="O20" i="1"/>
  <c r="O23" i="1" s="1"/>
  <c r="M20" i="1"/>
  <c r="L20" i="1"/>
  <c r="I23" i="1"/>
  <c r="G20" i="1"/>
  <c r="F20" i="1"/>
  <c r="F23" i="1" s="1"/>
  <c r="C20" i="1"/>
  <c r="AM19" i="1"/>
  <c r="AN19" i="1" s="1"/>
  <c r="AL19" i="1"/>
  <c r="P19" i="1"/>
  <c r="M19" i="1"/>
  <c r="J19" i="1"/>
  <c r="G19" i="1"/>
  <c r="D19" i="1"/>
  <c r="AL17" i="1"/>
  <c r="P17" i="1"/>
  <c r="O17" i="1"/>
  <c r="L17" i="1"/>
  <c r="M17" i="1" s="1"/>
  <c r="J17" i="1"/>
  <c r="I17" i="1"/>
  <c r="F17" i="1"/>
  <c r="G17" i="1" s="1"/>
  <c r="C17" i="1"/>
  <c r="D17" i="1" s="1"/>
  <c r="P16" i="1"/>
  <c r="O16" i="1"/>
  <c r="L16" i="1"/>
  <c r="M16" i="1" s="1"/>
  <c r="J16" i="1"/>
  <c r="I16" i="1"/>
  <c r="F16" i="1"/>
  <c r="E16" i="1"/>
  <c r="AL16" i="1" s="1"/>
  <c r="D16" i="1"/>
  <c r="C16" i="1"/>
  <c r="AM16" i="1" s="1"/>
  <c r="P15" i="1"/>
  <c r="O15" i="1"/>
  <c r="L15" i="1"/>
  <c r="K15" i="1"/>
  <c r="AL15" i="1" s="1"/>
  <c r="J15" i="1"/>
  <c r="I15" i="1"/>
  <c r="F15" i="1"/>
  <c r="G15" i="1" s="1"/>
  <c r="C15" i="1"/>
  <c r="D15" i="1" s="1"/>
  <c r="O14" i="1"/>
  <c r="P14" i="1" s="1"/>
  <c r="L14" i="1"/>
  <c r="K14" i="1"/>
  <c r="I14" i="1"/>
  <c r="J14" i="1" s="1"/>
  <c r="F14" i="1"/>
  <c r="G14" i="1" s="1"/>
  <c r="C14" i="1"/>
  <c r="B14" i="1"/>
  <c r="D14" i="1" s="1"/>
  <c r="K12" i="1"/>
  <c r="O11" i="1"/>
  <c r="P11" i="1" s="1"/>
  <c r="N11" i="1"/>
  <c r="N12" i="1" s="1"/>
  <c r="L11" i="1"/>
  <c r="M11" i="1" s="1"/>
  <c r="I11" i="1"/>
  <c r="J11" i="1" s="1"/>
  <c r="F11" i="1"/>
  <c r="E11" i="1"/>
  <c r="C11" i="1"/>
  <c r="B11" i="1"/>
  <c r="D11" i="1" s="1"/>
  <c r="O10" i="1"/>
  <c r="P10" i="1" s="1"/>
  <c r="L10" i="1"/>
  <c r="I10" i="1"/>
  <c r="H10" i="1"/>
  <c r="J10" i="1" s="1"/>
  <c r="G10" i="1"/>
  <c r="F10" i="1"/>
  <c r="E10" i="1"/>
  <c r="C10" i="1"/>
  <c r="B10" i="1"/>
  <c r="AL10" i="1" s="1"/>
  <c r="O9" i="1"/>
  <c r="P9" i="1" s="1"/>
  <c r="L9" i="1"/>
  <c r="M9" i="1" s="1"/>
  <c r="I9" i="1"/>
  <c r="I12" i="1" s="1"/>
  <c r="F9" i="1"/>
  <c r="F12" i="1" s="1"/>
  <c r="E9" i="1"/>
  <c r="E12" i="1" s="1"/>
  <c r="C9" i="1"/>
  <c r="D9" i="1" s="1"/>
  <c r="B9" i="1"/>
  <c r="AM8" i="1"/>
  <c r="AL8" i="1"/>
  <c r="P8" i="1"/>
  <c r="M8" i="1"/>
  <c r="J8" i="1"/>
  <c r="G8" i="1"/>
  <c r="D8" i="1"/>
  <c r="AN68" i="1" l="1"/>
  <c r="AN146" i="1"/>
  <c r="AN48" i="1"/>
  <c r="AN35" i="1"/>
  <c r="AN50" i="1"/>
  <c r="AN87" i="1"/>
  <c r="AN125" i="1"/>
  <c r="AN145" i="1"/>
  <c r="N85" i="1"/>
  <c r="P81" i="1"/>
  <c r="K103" i="1"/>
  <c r="M103" i="1" s="1"/>
  <c r="M93" i="1"/>
  <c r="N130" i="1"/>
  <c r="P130" i="1" s="1"/>
  <c r="P129" i="1"/>
  <c r="AM21" i="1"/>
  <c r="AL28" i="1"/>
  <c r="F39" i="1"/>
  <c r="D56" i="1"/>
  <c r="O61" i="1"/>
  <c r="E61" i="1"/>
  <c r="D65" i="1"/>
  <c r="O71" i="1"/>
  <c r="AM95" i="1"/>
  <c r="AN95" i="1" s="1"/>
  <c r="P125" i="1"/>
  <c r="M147" i="1"/>
  <c r="M149" i="1"/>
  <c r="AN8" i="1"/>
  <c r="G11" i="1"/>
  <c r="AL14" i="1"/>
  <c r="C23" i="1"/>
  <c r="D23" i="1" s="1"/>
  <c r="L23" i="1"/>
  <c r="D21" i="1"/>
  <c r="P23" i="1"/>
  <c r="F30" i="1"/>
  <c r="F43" i="1" s="1"/>
  <c r="F45" i="1" s="1"/>
  <c r="H30" i="1"/>
  <c r="D38" i="1"/>
  <c r="AM41" i="1"/>
  <c r="P41" i="1"/>
  <c r="AM52" i="1"/>
  <c r="M56" i="1"/>
  <c r="AM58" i="1"/>
  <c r="AN58" i="1" s="1"/>
  <c r="AL60" i="1"/>
  <c r="AN60" i="1" s="1"/>
  <c r="L66" i="1"/>
  <c r="F71" i="1"/>
  <c r="G71" i="1" s="1"/>
  <c r="M70" i="1"/>
  <c r="K77" i="1"/>
  <c r="M77" i="1" s="1"/>
  <c r="M76" i="1"/>
  <c r="L85" i="1"/>
  <c r="M80" i="1"/>
  <c r="K85" i="1"/>
  <c r="J84" i="1"/>
  <c r="AL92" i="1"/>
  <c r="D92" i="1"/>
  <c r="AL96" i="1"/>
  <c r="D96" i="1"/>
  <c r="AM96" i="1"/>
  <c r="AM97" i="1"/>
  <c r="AM99" i="1"/>
  <c r="AM102" i="1"/>
  <c r="F110" i="1"/>
  <c r="M110" i="1"/>
  <c r="AL122" i="1"/>
  <c r="AN122" i="1" s="1"/>
  <c r="I132" i="1"/>
  <c r="I155" i="1" s="1"/>
  <c r="G130" i="1"/>
  <c r="C12" i="1"/>
  <c r="AN16" i="1"/>
  <c r="AM29" i="1"/>
  <c r="AN29" i="1" s="1"/>
  <c r="AM32" i="1"/>
  <c r="AL36" i="1"/>
  <c r="I61" i="1"/>
  <c r="AM59" i="1"/>
  <c r="AN59" i="1" s="1"/>
  <c r="D60" i="1"/>
  <c r="O85" i="1"/>
  <c r="P82" i="1"/>
  <c r="B12" i="1"/>
  <c r="D12" i="1" s="1"/>
  <c r="AL9" i="1"/>
  <c r="L12" i="1"/>
  <c r="AM11" i="1"/>
  <c r="G28" i="1"/>
  <c r="G36" i="1"/>
  <c r="L39" i="1"/>
  <c r="AL37" i="1"/>
  <c r="AM38" i="1"/>
  <c r="P38" i="1"/>
  <c r="AM57" i="1"/>
  <c r="AM64" i="1"/>
  <c r="J66" i="1"/>
  <c r="I66" i="1"/>
  <c r="L71" i="1"/>
  <c r="AN79" i="1"/>
  <c r="F85" i="1"/>
  <c r="G80" i="1"/>
  <c r="AL97" i="1"/>
  <c r="D97" i="1"/>
  <c r="G98" i="1"/>
  <c r="AL101" i="1"/>
  <c r="AN101" i="1" s="1"/>
  <c r="H110" i="1"/>
  <c r="J106" i="1"/>
  <c r="P108" i="1"/>
  <c r="K123" i="1"/>
  <c r="M123" i="1" s="1"/>
  <c r="AN140" i="1"/>
  <c r="E143" i="1"/>
  <c r="G143" i="1" s="1"/>
  <c r="G142" i="1"/>
  <c r="AM70" i="1"/>
  <c r="P70" i="1"/>
  <c r="F77" i="1"/>
  <c r="D76" i="1"/>
  <c r="D83" i="1"/>
  <c r="J83" i="1"/>
  <c r="P83" i="1"/>
  <c r="AM83" i="1"/>
  <c r="N103" i="1"/>
  <c r="J92" i="1"/>
  <c r="P92" i="1"/>
  <c r="AM93" i="1"/>
  <c r="P98" i="1"/>
  <c r="J102" i="1"/>
  <c r="G106" i="1"/>
  <c r="AM112" i="1"/>
  <c r="AL126" i="1"/>
  <c r="AN126" i="1" s="1"/>
  <c r="O153" i="1"/>
  <c r="AM81" i="1"/>
  <c r="D84" i="1"/>
  <c r="M84" i="1"/>
  <c r="AM91" i="1"/>
  <c r="AN91" i="1" s="1"/>
  <c r="P97" i="1"/>
  <c r="D99" i="1"/>
  <c r="M99" i="1"/>
  <c r="M100" i="1"/>
  <c r="K110" i="1"/>
  <c r="O110" i="1"/>
  <c r="G107" i="1"/>
  <c r="P107" i="1"/>
  <c r="O132" i="1"/>
  <c r="J130" i="1"/>
  <c r="L153" i="1"/>
  <c r="L155" i="1" s="1"/>
  <c r="G12" i="1"/>
  <c r="AL11" i="1"/>
  <c r="AN11" i="1" s="1"/>
  <c r="O12" i="1"/>
  <c r="AM12" i="1" s="1"/>
  <c r="J9" i="1"/>
  <c r="D10" i="1"/>
  <c r="M10" i="1"/>
  <c r="H12" i="1"/>
  <c r="G9" i="1"/>
  <c r="AM10" i="1"/>
  <c r="AN10" i="1" s="1"/>
  <c r="M14" i="1"/>
  <c r="M15" i="1"/>
  <c r="G16" i="1"/>
  <c r="AM23" i="1"/>
  <c r="H23" i="1"/>
  <c r="J23" i="1" s="1"/>
  <c r="P21" i="1"/>
  <c r="AM22" i="1"/>
  <c r="D22" i="1"/>
  <c r="G23" i="1"/>
  <c r="J30" i="1"/>
  <c r="AN32" i="1"/>
  <c r="I39" i="1"/>
  <c r="I43" i="1" s="1"/>
  <c r="I45" i="1" s="1"/>
  <c r="M66" i="1"/>
  <c r="G77" i="1"/>
  <c r="AM17" i="1"/>
  <c r="AN17" i="1" s="1"/>
  <c r="AL25" i="1"/>
  <c r="AN25" i="1" s="1"/>
  <c r="P25" i="1"/>
  <c r="C30" i="1"/>
  <c r="AM28" i="1"/>
  <c r="D28" i="1"/>
  <c r="AL33" i="1"/>
  <c r="AN33" i="1" s="1"/>
  <c r="D33" i="1"/>
  <c r="C39" i="1"/>
  <c r="AM36" i="1"/>
  <c r="AN36" i="1" s="1"/>
  <c r="D36" i="1"/>
  <c r="D41" i="1"/>
  <c r="AL41" i="1"/>
  <c r="AN41" i="1" s="1"/>
  <c r="D71" i="1"/>
  <c r="AM14" i="1"/>
  <c r="AN14" i="1" s="1"/>
  <c r="AM15" i="1"/>
  <c r="AN15" i="1" s="1"/>
  <c r="O30" i="1"/>
  <c r="P30" i="1" s="1"/>
  <c r="P28" i="1"/>
  <c r="O39" i="1"/>
  <c r="P36" i="1"/>
  <c r="O53" i="1"/>
  <c r="P49" i="1"/>
  <c r="AM9" i="1"/>
  <c r="AN9" i="1" s="1"/>
  <c r="AN22" i="1"/>
  <c r="D20" i="1"/>
  <c r="J20" i="1"/>
  <c r="P20" i="1"/>
  <c r="AM20" i="1"/>
  <c r="AN20" i="1" s="1"/>
  <c r="M23" i="1"/>
  <c r="AL23" i="1"/>
  <c r="K30" i="1"/>
  <c r="M30" i="1" s="1"/>
  <c r="M28" i="1"/>
  <c r="D30" i="1"/>
  <c r="K39" i="1"/>
  <c r="M36" i="1"/>
  <c r="AM37" i="1"/>
  <c r="D37" i="1"/>
  <c r="E39" i="1"/>
  <c r="G39" i="1" s="1"/>
  <c r="K53" i="1"/>
  <c r="M49" i="1"/>
  <c r="P66" i="1"/>
  <c r="C53" i="1"/>
  <c r="I53" i="1"/>
  <c r="N53" i="1"/>
  <c r="AL56" i="1"/>
  <c r="AN56" i="1" s="1"/>
  <c r="K61" i="1"/>
  <c r="N71" i="1"/>
  <c r="P71" i="1" s="1"/>
  <c r="D77" i="1"/>
  <c r="E85" i="1"/>
  <c r="G85" i="1" s="1"/>
  <c r="G81" i="1"/>
  <c r="J81" i="1"/>
  <c r="G82" i="1"/>
  <c r="I103" i="1"/>
  <c r="J88" i="1"/>
  <c r="AM89" i="1"/>
  <c r="AN89" i="1" s="1"/>
  <c r="D89" i="1"/>
  <c r="C103" i="1"/>
  <c r="M89" i="1"/>
  <c r="L103" i="1"/>
  <c r="AM90" i="1"/>
  <c r="AN90" i="1" s="1"/>
  <c r="D90" i="1"/>
  <c r="J110" i="1"/>
  <c r="B39" i="1"/>
  <c r="N39" i="1"/>
  <c r="H53" i="1"/>
  <c r="AM49" i="1"/>
  <c r="AN49" i="1" s="1"/>
  <c r="AL51" i="1"/>
  <c r="D52" i="1"/>
  <c r="AL52" i="1"/>
  <c r="E53" i="1"/>
  <c r="D58" i="1"/>
  <c r="L61" i="1"/>
  <c r="L114" i="1" s="1"/>
  <c r="AL66" i="1"/>
  <c r="AL70" i="1"/>
  <c r="AN70" i="1" s="1"/>
  <c r="I77" i="1"/>
  <c r="N77" i="1"/>
  <c r="B85" i="1"/>
  <c r="B114" i="1" s="1"/>
  <c r="AL81" i="1"/>
  <c r="AN82" i="1"/>
  <c r="M85" i="1"/>
  <c r="J93" i="1"/>
  <c r="AL93" i="1"/>
  <c r="D32" i="1"/>
  <c r="AL38" i="1"/>
  <c r="AN38" i="1" s="1"/>
  <c r="G50" i="1"/>
  <c r="AM51" i="1"/>
  <c r="AN57" i="1"/>
  <c r="C61" i="1"/>
  <c r="D61" i="1" s="1"/>
  <c r="H61" i="1"/>
  <c r="J61" i="1" s="1"/>
  <c r="J64" i="1"/>
  <c r="AL64" i="1"/>
  <c r="AN64" i="1" s="1"/>
  <c r="C66" i="1"/>
  <c r="G70" i="1"/>
  <c r="K71" i="1"/>
  <c r="M71" i="1" s="1"/>
  <c r="AM74" i="1"/>
  <c r="AN74" i="1" s="1"/>
  <c r="D74" i="1"/>
  <c r="G76" i="1"/>
  <c r="AL76" i="1"/>
  <c r="O77" i="1"/>
  <c r="C85" i="1"/>
  <c r="B103" i="1"/>
  <c r="AL88" i="1"/>
  <c r="J36" i="1"/>
  <c r="J49" i="1"/>
  <c r="D53" i="1"/>
  <c r="F61" i="1"/>
  <c r="G61" i="1" s="1"/>
  <c r="J56" i="1"/>
  <c r="N61" i="1"/>
  <c r="P61" i="1" s="1"/>
  <c r="P56" i="1"/>
  <c r="D57" i="1"/>
  <c r="G59" i="1"/>
  <c r="G64" i="1"/>
  <c r="M64" i="1"/>
  <c r="P64" i="1"/>
  <c r="AN69" i="1"/>
  <c r="D70" i="1"/>
  <c r="M74" i="1"/>
  <c r="P75" i="1"/>
  <c r="AM76" i="1"/>
  <c r="AM80" i="1"/>
  <c r="AN80" i="1" s="1"/>
  <c r="D81" i="1"/>
  <c r="D82" i="1"/>
  <c r="AL83" i="1"/>
  <c r="J90" i="1"/>
  <c r="H103" i="1"/>
  <c r="AM92" i="1"/>
  <c r="AM100" i="1"/>
  <c r="D106" i="1"/>
  <c r="AL106" i="1"/>
  <c r="D107" i="1"/>
  <c r="AL107" i="1"/>
  <c r="D108" i="1"/>
  <c r="AL108" i="1"/>
  <c r="D109" i="1"/>
  <c r="AL109" i="1"/>
  <c r="B110" i="1"/>
  <c r="AL84" i="1"/>
  <c r="AN84" i="1" s="1"/>
  <c r="G88" i="1"/>
  <c r="E103" i="1"/>
  <c r="G103" i="1" s="1"/>
  <c r="G92" i="1"/>
  <c r="M101" i="1"/>
  <c r="AL102" i="1"/>
  <c r="O103" i="1"/>
  <c r="AM106" i="1"/>
  <c r="AM107" i="1"/>
  <c r="AM108" i="1"/>
  <c r="AM109" i="1"/>
  <c r="E110" i="1"/>
  <c r="B123" i="1"/>
  <c r="AL121" i="1"/>
  <c r="AN121" i="1" s="1"/>
  <c r="D121" i="1"/>
  <c r="M136" i="1"/>
  <c r="K138" i="1"/>
  <c r="K143" i="1"/>
  <c r="M143" i="1" s="1"/>
  <c r="AL141" i="1"/>
  <c r="AN141" i="1" s="1"/>
  <c r="M141" i="1"/>
  <c r="AM151" i="1"/>
  <c r="AM88" i="1"/>
  <c r="D95" i="1"/>
  <c r="AL99" i="1"/>
  <c r="AN99" i="1" s="1"/>
  <c r="N110" i="1"/>
  <c r="G112" i="1"/>
  <c r="AL112" i="1"/>
  <c r="I85" i="1"/>
  <c r="J85" i="1" s="1"/>
  <c r="P88" i="1"/>
  <c r="AL98" i="1"/>
  <c r="AL100" i="1"/>
  <c r="D101" i="1"/>
  <c r="H123" i="1"/>
  <c r="B130" i="1"/>
  <c r="D129" i="1"/>
  <c r="AL129" i="1"/>
  <c r="AN129" i="1" s="1"/>
  <c r="AL149" i="1"/>
  <c r="AM98" i="1"/>
  <c r="C110" i="1"/>
  <c r="AL137" i="1"/>
  <c r="AN137" i="1" s="1"/>
  <c r="F153" i="1"/>
  <c r="P138" i="1"/>
  <c r="AM138" i="1"/>
  <c r="N151" i="1"/>
  <c r="P151" i="1" s="1"/>
  <c r="AN120" i="1"/>
  <c r="E123" i="1"/>
  <c r="G121" i="1"/>
  <c r="N123" i="1"/>
  <c r="C132" i="1"/>
  <c r="AM123" i="1"/>
  <c r="O155" i="1"/>
  <c r="H138" i="1"/>
  <c r="J112" i="1"/>
  <c r="AM130" i="1"/>
  <c r="F155" i="1"/>
  <c r="AL136" i="1"/>
  <c r="AN136" i="1" s="1"/>
  <c r="B138" i="1"/>
  <c r="AL147" i="1"/>
  <c r="AN147" i="1" s="1"/>
  <c r="E149" i="1"/>
  <c r="D149" i="1"/>
  <c r="B151" i="1"/>
  <c r="AN135" i="1"/>
  <c r="E138" i="1"/>
  <c r="G136" i="1"/>
  <c r="AM149" i="1"/>
  <c r="J149" i="1"/>
  <c r="AL142" i="1"/>
  <c r="AN142" i="1" s="1"/>
  <c r="AM143" i="1"/>
  <c r="J143" i="1"/>
  <c r="AL148" i="1"/>
  <c r="AN148" i="1" s="1"/>
  <c r="P148" i="1"/>
  <c r="B143" i="1"/>
  <c r="N143" i="1"/>
  <c r="P143" i="1" s="1"/>
  <c r="D142" i="1"/>
  <c r="J147" i="1"/>
  <c r="AN112" i="1" l="1"/>
  <c r="AN83" i="1"/>
  <c r="AN28" i="1"/>
  <c r="AN102" i="1"/>
  <c r="AN93" i="1"/>
  <c r="AN81" i="1"/>
  <c r="AN149" i="1"/>
  <c r="AN52" i="1"/>
  <c r="AN21" i="1"/>
  <c r="AN96" i="1"/>
  <c r="AN92" i="1"/>
  <c r="G30" i="1"/>
  <c r="N153" i="1"/>
  <c r="P153" i="1" s="1"/>
  <c r="L43" i="1"/>
  <c r="L45" i="1" s="1"/>
  <c r="L116" i="1" s="1"/>
  <c r="L157" i="1" s="1"/>
  <c r="AM153" i="1"/>
  <c r="K132" i="1"/>
  <c r="P110" i="1"/>
  <c r="P103" i="1"/>
  <c r="AN51" i="1"/>
  <c r="P39" i="1"/>
  <c r="M39" i="1"/>
  <c r="J39" i="1"/>
  <c r="AN97" i="1"/>
  <c r="AM77" i="1"/>
  <c r="J103" i="1"/>
  <c r="AN98" i="1"/>
  <c r="G110" i="1"/>
  <c r="AN108" i="1"/>
  <c r="AN106" i="1"/>
  <c r="B43" i="1"/>
  <c r="AN37" i="1"/>
  <c r="M12" i="1"/>
  <c r="P85" i="1"/>
  <c r="B45" i="1"/>
  <c r="G138" i="1"/>
  <c r="AL130" i="1"/>
  <c r="AN130" i="1" s="1"/>
  <c r="D130" i="1"/>
  <c r="M132" i="1"/>
  <c r="AL143" i="1"/>
  <c r="AN143" i="1" s="1"/>
  <c r="D143" i="1"/>
  <c r="E151" i="1"/>
  <c r="G151" i="1" s="1"/>
  <c r="G149" i="1"/>
  <c r="J123" i="1"/>
  <c r="H132" i="1"/>
  <c r="AN100" i="1"/>
  <c r="AN109" i="1"/>
  <c r="AN107" i="1"/>
  <c r="P77" i="1"/>
  <c r="M61" i="1"/>
  <c r="N114" i="1"/>
  <c r="P53" i="1"/>
  <c r="K114" i="1"/>
  <c r="M114" i="1" s="1"/>
  <c r="M53" i="1"/>
  <c r="AM39" i="1"/>
  <c r="AM30" i="1"/>
  <c r="AM71" i="1"/>
  <c r="AM85" i="1"/>
  <c r="H114" i="1"/>
  <c r="J114" i="1" s="1"/>
  <c r="J53" i="1"/>
  <c r="I114" i="1"/>
  <c r="I116" i="1" s="1"/>
  <c r="I157" i="1" s="1"/>
  <c r="J77" i="1"/>
  <c r="K43" i="1"/>
  <c r="F114" i="1"/>
  <c r="F116" i="1" s="1"/>
  <c r="F157" i="1" s="1"/>
  <c r="P12" i="1"/>
  <c r="B153" i="1"/>
  <c r="D138" i="1"/>
  <c r="AL138" i="1"/>
  <c r="AN138" i="1" s="1"/>
  <c r="AN88" i="1"/>
  <c r="D66" i="1"/>
  <c r="AM66" i="1"/>
  <c r="AN66" i="1" s="1"/>
  <c r="D85" i="1"/>
  <c r="AL85" i="1"/>
  <c r="AM103" i="1"/>
  <c r="C114" i="1"/>
  <c r="AM53" i="1"/>
  <c r="H43" i="1"/>
  <c r="J12" i="1"/>
  <c r="O43" i="1"/>
  <c r="O45" i="1" s="1"/>
  <c r="N43" i="1"/>
  <c r="E43" i="1"/>
  <c r="C43" i="1"/>
  <c r="E132" i="1"/>
  <c r="G123" i="1"/>
  <c r="D151" i="1"/>
  <c r="AL151" i="1"/>
  <c r="AN151" i="1" s="1"/>
  <c r="C155" i="1"/>
  <c r="AM155" i="1" s="1"/>
  <c r="AM132" i="1"/>
  <c r="AL123" i="1"/>
  <c r="AN123" i="1" s="1"/>
  <c r="D123" i="1"/>
  <c r="B132" i="1"/>
  <c r="J138" i="1"/>
  <c r="H153" i="1"/>
  <c r="J153" i="1" s="1"/>
  <c r="N132" i="1"/>
  <c r="P123" i="1"/>
  <c r="AM110" i="1"/>
  <c r="M138" i="1"/>
  <c r="K153" i="1"/>
  <c r="M153" i="1" s="1"/>
  <c r="AL110" i="1"/>
  <c r="D110" i="1"/>
  <c r="AL61" i="1"/>
  <c r="AL103" i="1"/>
  <c r="D103" i="1"/>
  <c r="AN76" i="1"/>
  <c r="AM61" i="1"/>
  <c r="E114" i="1"/>
  <c r="G53" i="1"/>
  <c r="AL53" i="1"/>
  <c r="AN53" i="1" s="1"/>
  <c r="D39" i="1"/>
  <c r="AL39" i="1"/>
  <c r="AN23" i="1"/>
  <c r="O114" i="1"/>
  <c r="AL71" i="1"/>
  <c r="AN71" i="1" s="1"/>
  <c r="AL77" i="1"/>
  <c r="AN77" i="1" s="1"/>
  <c r="AL30" i="1"/>
  <c r="AN30" i="1" s="1"/>
  <c r="AL12" i="1"/>
  <c r="AN12" i="1" s="1"/>
  <c r="AN85" i="1" l="1"/>
  <c r="AN110" i="1"/>
  <c r="AN39" i="1"/>
  <c r="G114" i="1"/>
  <c r="AN61" i="1"/>
  <c r="AL43" i="1"/>
  <c r="AN103" i="1"/>
  <c r="N155" i="1"/>
  <c r="P155" i="1" s="1"/>
  <c r="P132" i="1"/>
  <c r="N45" i="1"/>
  <c r="P43" i="1"/>
  <c r="D153" i="1"/>
  <c r="M43" i="1"/>
  <c r="K45" i="1"/>
  <c r="AL114" i="1"/>
  <c r="G132" i="1"/>
  <c r="O116" i="1"/>
  <c r="O157" i="1" s="1"/>
  <c r="AM114" i="1"/>
  <c r="K155" i="1"/>
  <c r="M155" i="1" s="1"/>
  <c r="AM43" i="1"/>
  <c r="AN43" i="1" s="1"/>
  <c r="C45" i="1"/>
  <c r="J132" i="1"/>
  <c r="H155" i="1"/>
  <c r="J155" i="1" s="1"/>
  <c r="D43" i="1"/>
  <c r="B155" i="1"/>
  <c r="D132" i="1"/>
  <c r="AL132" i="1"/>
  <c r="AN132" i="1" s="1"/>
  <c r="E45" i="1"/>
  <c r="G43" i="1"/>
  <c r="H45" i="1"/>
  <c r="J43" i="1"/>
  <c r="D114" i="1"/>
  <c r="P114" i="1"/>
  <c r="E153" i="1"/>
  <c r="G153" i="1" s="1"/>
  <c r="B116" i="1"/>
  <c r="D45" i="1"/>
  <c r="B157" i="1" l="1"/>
  <c r="E116" i="1"/>
  <c r="G45" i="1"/>
  <c r="E155" i="1"/>
  <c r="G155" i="1" s="1"/>
  <c r="AN114" i="1"/>
  <c r="N116" i="1"/>
  <c r="P45" i="1"/>
  <c r="D155" i="1"/>
  <c r="C116" i="1"/>
  <c r="D116" i="1" s="1"/>
  <c r="AM45" i="1"/>
  <c r="K116" i="1"/>
  <c r="M45" i="1"/>
  <c r="H116" i="1"/>
  <c r="J45" i="1"/>
  <c r="AL153" i="1"/>
  <c r="AN153" i="1" s="1"/>
  <c r="AL45" i="1"/>
  <c r="AN45" i="1" l="1"/>
  <c r="AL155" i="1"/>
  <c r="AN155" i="1" s="1"/>
  <c r="AL116" i="1"/>
  <c r="H157" i="1"/>
  <c r="J157" i="1" s="1"/>
  <c r="J116" i="1"/>
  <c r="N157" i="1"/>
  <c r="P157" i="1" s="1"/>
  <c r="P116" i="1"/>
  <c r="E157" i="1"/>
  <c r="G157" i="1" s="1"/>
  <c r="G116" i="1"/>
  <c r="K157" i="1"/>
  <c r="M157" i="1" s="1"/>
  <c r="M116" i="1"/>
  <c r="C157" i="1"/>
  <c r="AM116" i="1"/>
  <c r="D157" i="1"/>
  <c r="AN116" i="1" l="1"/>
  <c r="AL157" i="1"/>
  <c r="AM157" i="1"/>
  <c r="AN157" i="1" l="1"/>
</calcChain>
</file>

<file path=xl/sharedStrings.xml><?xml version="1.0" encoding="utf-8"?>
<sst xmlns="http://schemas.openxmlformats.org/spreadsheetml/2006/main" count="189" uniqueCount="149">
  <si>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</si>
  <si>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</si>
  <si>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</si>
  <si>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</si>
  <si>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</si>
  <si>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</si>
  <si>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</si>
  <si>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</si>
  <si>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</si>
  <si>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</si>
  <si>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</si>
  <si>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</si>
  <si>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Actual</t>
  </si>
  <si>
    <t>Budget</t>
  </si>
  <si>
    <t>over Budget</t>
  </si>
  <si>
    <t>Income</t>
  </si>
  <si>
    <t xml:space="preserve">   4001 Contributions and Grants</t>
  </si>
  <si>
    <t xml:space="preserve">      4001.01 Church</t>
  </si>
  <si>
    <t xml:space="preserve">      4001.04 Individual</t>
  </si>
  <si>
    <t xml:space="preserve">      4001.05 Corporations</t>
  </si>
  <si>
    <t xml:space="preserve">   Total 4001 Contributions and Grants</t>
  </si>
  <si>
    <t xml:space="preserve">   4002 Episcopal Charities</t>
  </si>
  <si>
    <t xml:space="preserve">   4003 Episcopal Church Women</t>
  </si>
  <si>
    <t xml:space="preserve">   4004 All Angels Deaf Ministry</t>
  </si>
  <si>
    <t xml:space="preserve">   4005 Episcopal Diocese of Chicago</t>
  </si>
  <si>
    <t xml:space="preserve">   4006 Spiritual Care Visitor Training</t>
  </si>
  <si>
    <t xml:space="preserve">      4006-02 SCVT - Summer (Chicago)</t>
  </si>
  <si>
    <t xml:space="preserve">      4006.01 SCVT - Spring (Rockford)</t>
  </si>
  <si>
    <t xml:space="preserve">      4006.03 SCVT - Fall (Peoria)</t>
  </si>
  <si>
    <t xml:space="preserve">   Total 4006 Spiritual Care Visitor Training</t>
  </si>
  <si>
    <t xml:space="preserve">   4007 Seminar/Purse Receipts</t>
  </si>
  <si>
    <t xml:space="preserve">   4010 Benefit</t>
  </si>
  <si>
    <t xml:space="preserve">      4010.01 Spring Benefit</t>
  </si>
  <si>
    <t xml:space="preserve">      4010.02 Fall Event</t>
  </si>
  <si>
    <t xml:space="preserve">   Total 4010 Benefit</t>
  </si>
  <si>
    <t xml:space="preserve">   4012 Foundations</t>
  </si>
  <si>
    <t xml:space="preserve">   4025 Memorials</t>
  </si>
  <si>
    <t xml:space="preserve">   5000 Investment Income</t>
  </si>
  <si>
    <t xml:space="preserve">      5000.01 Wm. Blair Distribution</t>
  </si>
  <si>
    <t xml:space="preserve">      5000.02 Earnings From Diocese</t>
  </si>
  <si>
    <t xml:space="preserve">      5000.03 Other Interest Income</t>
  </si>
  <si>
    <t xml:space="preserve">   Total 5000 Investment Income</t>
  </si>
  <si>
    <t xml:space="preserve">   5200 Space in Kind</t>
  </si>
  <si>
    <t>Total Income</t>
  </si>
  <si>
    <t>Gross Profit</t>
  </si>
  <si>
    <t>Expenses</t>
  </si>
  <si>
    <t xml:space="preserve">   6100 All Angels Deaf Ministry Expense</t>
  </si>
  <si>
    <t xml:space="preserve">      6100.01 Stipend</t>
  </si>
  <si>
    <t xml:space="preserve">      6100.02 Mileage</t>
  </si>
  <si>
    <t xml:space="preserve">      6100.03 Meals</t>
  </si>
  <si>
    <t xml:space="preserve">      6100.06 Misc.</t>
  </si>
  <si>
    <t xml:space="preserve">   Total 6100 All Angels Deaf Ministry Expense</t>
  </si>
  <si>
    <t xml:space="preserve">   6110 Spiritual Care Visitor Training Expense</t>
  </si>
  <si>
    <t xml:space="preserve">      6110.01 SCVT Expense - Spring (Rockford)</t>
  </si>
  <si>
    <t xml:space="preserve">      6110.02 SCVT Expense - Summer (Chicago)</t>
  </si>
  <si>
    <t xml:space="preserve">      6110.03 SCVT Expense - Fall (Peoria)</t>
  </si>
  <si>
    <t xml:space="preserve">      6110.07 SCVT Development</t>
  </si>
  <si>
    <t xml:space="preserve">      6110.10 SCVT Salaries &amp; Benefits Allocated</t>
  </si>
  <si>
    <t xml:space="preserve">   Total 6110 Spiritual Care Visitor Training Expense</t>
  </si>
  <si>
    <t xml:space="preserve">   6130 Benefit Expenses</t>
  </si>
  <si>
    <t xml:space="preserve">      6130.01 Spring Benefit</t>
  </si>
  <si>
    <t xml:space="preserve">      6130.02 Fall Benefit</t>
  </si>
  <si>
    <t xml:space="preserve">   Total 6130 Benefit Expenses</t>
  </si>
  <si>
    <t xml:space="preserve">   6160 CORE Program</t>
  </si>
  <si>
    <t xml:space="preserve">      6161 CORE Program Expenses</t>
  </si>
  <si>
    <t xml:space="preserve">      6162 CORE Salaries &amp; Benefits Allocated</t>
  </si>
  <si>
    <t xml:space="preserve">   Total 6160 CORE Program</t>
  </si>
  <si>
    <t xml:space="preserve">   6180 Stroger Program</t>
  </si>
  <si>
    <t xml:space="preserve">      6181 Stroger Program Expense</t>
  </si>
  <si>
    <t xml:space="preserve">      6182 Stroger Miscellaneous</t>
  </si>
  <si>
    <t xml:space="preserve">      6183 Stroger Salaries &amp; Benefits Allocated</t>
  </si>
  <si>
    <t xml:space="preserve">   Total 6180 Stroger Program</t>
  </si>
  <si>
    <t xml:space="preserve">   6600 Public Relations/Development</t>
  </si>
  <si>
    <t xml:space="preserve">      6600.01 Website Expense</t>
  </si>
  <si>
    <t xml:space="preserve">      6600.02 Development</t>
  </si>
  <si>
    <t xml:space="preserve">      6600.03 Publications - Design, Printing, Postage</t>
  </si>
  <si>
    <t xml:space="preserve">      6600.04 Social Media</t>
  </si>
  <si>
    <t xml:space="preserve">      6600.09 Salaries &amp; Benefits Allocated</t>
  </si>
  <si>
    <t xml:space="preserve">   Total 6600 Public Relations/Development</t>
  </si>
  <si>
    <t xml:space="preserve">   6700 Administrative Expenses</t>
  </si>
  <si>
    <t xml:space="preserve">      6700.01 Accounting Services</t>
  </si>
  <si>
    <t xml:space="preserve">      6700.03 Audit Expense</t>
  </si>
  <si>
    <t xml:space="preserve">      6700.06 Conferences and Retreats</t>
  </si>
  <si>
    <t xml:space="preserve">      6700.07 Continuing Education</t>
  </si>
  <si>
    <t xml:space="preserve">      6700.08 Credit Card Fees</t>
  </si>
  <si>
    <t xml:space="preserve">      6700.09 Dues and Subscriptions</t>
  </si>
  <si>
    <t xml:space="preserve">      6700.10 Facilities and Equipment</t>
  </si>
  <si>
    <t xml:space="preserve">      6700.12 Insurance</t>
  </si>
  <si>
    <t xml:space="preserve">      6700.14 Licenses &amp; Fees</t>
  </si>
  <si>
    <t xml:space="preserve">      6700.20 Payroll Expenses</t>
  </si>
  <si>
    <t xml:space="preserve">      6700.22 Postage</t>
  </si>
  <si>
    <t xml:space="preserve">      6700.23 Professional Services</t>
  </si>
  <si>
    <t xml:space="preserve">      6700.25 Salaries &amp; Benefit Allocated</t>
  </si>
  <si>
    <t xml:space="preserve">      6700.28 Supplies</t>
  </si>
  <si>
    <t xml:space="preserve">      6700.30 Travel</t>
  </si>
  <si>
    <t xml:space="preserve">   Total 6700 Administrative Expenses</t>
  </si>
  <si>
    <t xml:space="preserve">   6800 Compensation</t>
  </si>
  <si>
    <t xml:space="preserve">      6800.01 Salaries</t>
  </si>
  <si>
    <t xml:space="preserve">      6800.07 Payroll Taxes</t>
  </si>
  <si>
    <t xml:space="preserve">      6800.08 Fringe Benefits</t>
  </si>
  <si>
    <t xml:space="preserve">      6800.10 Salaries &amp; Benefits Allocated</t>
  </si>
  <si>
    <t xml:space="preserve">   Total 6800 Compensation</t>
  </si>
  <si>
    <t xml:space="preserve">   7000 Space In Kind Expense</t>
  </si>
  <si>
    <t>Total Expenses</t>
  </si>
  <si>
    <t>Net Operating Income</t>
  </si>
  <si>
    <t>Other Income</t>
  </si>
  <si>
    <t xml:space="preserve">   8000 Other Income Wm. Blair</t>
  </si>
  <si>
    <t xml:space="preserve">      8000.01 Interest Wm. Blair</t>
  </si>
  <si>
    <t xml:space="preserve">      8000.04 Unrealized Gain (Loss) Wm. Blair</t>
  </si>
  <si>
    <t xml:space="preserve">   Total 8000 Other Income Wm. Blair</t>
  </si>
  <si>
    <t xml:space="preserve">   8010 Other Income</t>
  </si>
  <si>
    <t xml:space="preserve">   8020 Capital Campaign Receipts</t>
  </si>
  <si>
    <t xml:space="preserve">   8030 Transfer from Temporarily Restricted Funds</t>
  </si>
  <si>
    <t xml:space="preserve">      8033 Transfer from SCVT Online</t>
  </si>
  <si>
    <t xml:space="preserve">   Total 8030 Transfer from Temporarily Restricted Funds</t>
  </si>
  <si>
    <t>Total Other Income</t>
  </si>
  <si>
    <t>Other Expenses</t>
  </si>
  <si>
    <t xml:space="preserve">   9000 Other Expense - Wm. Bair</t>
  </si>
  <si>
    <t xml:space="preserve">      9000.01 Taxes, Fees, &amp; Expenses Wm. Blair</t>
  </si>
  <si>
    <t xml:space="preserve">      9000.02 Withdrawals Wm. Blair</t>
  </si>
  <si>
    <t xml:space="preserve">   Total 9000 Other Expense - Wm. Bair</t>
  </si>
  <si>
    <t xml:space="preserve">   9020 Transfer Capital Receipts to Capital Funds</t>
  </si>
  <si>
    <t xml:space="preserve">      9020.04 Stroger Chaplaincy Fund</t>
  </si>
  <si>
    <t xml:space="preserve">      9020.07 Unrestricted Fund</t>
  </si>
  <si>
    <t xml:space="preserve">   Total 9020 Transfer Capital Receipts to Capital Funds</t>
  </si>
  <si>
    <t xml:space="preserve">   9030 Temporarily Restricted Expense Detail</t>
  </si>
  <si>
    <t xml:space="preserve">      9033 Spiritual Care Visitor Training Online</t>
  </si>
  <si>
    <t xml:space="preserve">         9033.01 SCVT Online Video &amp; Website</t>
  </si>
  <si>
    <t xml:space="preserve">         9033.03 SCVT Online Staff Salaries</t>
  </si>
  <si>
    <t xml:space="preserve">      Total 9033 Spiritual Care Visitor Training Online</t>
  </si>
  <si>
    <t xml:space="preserve">   Total 9030 Temporarily Restricted Expense Detail</t>
  </si>
  <si>
    <t>Total Other Expenses</t>
  </si>
  <si>
    <t>Net Other Income</t>
  </si>
  <si>
    <t>Net Income</t>
  </si>
  <si>
    <t>Bishop Anderson House</t>
  </si>
  <si>
    <t>Budget vs. Actuals</t>
  </si>
  <si>
    <t>April Year-to-Date</t>
  </si>
  <si>
    <t>Notes</t>
  </si>
  <si>
    <t>Gifts down this year vs last year at this time</t>
  </si>
  <si>
    <t>Received a $13,500 gift in January</t>
  </si>
  <si>
    <t>Audit completed earlier last year</t>
  </si>
  <si>
    <t>Fund development work</t>
  </si>
  <si>
    <t xml:space="preserve">Wm Blair monthly activty tying to monthly </t>
  </si>
  <si>
    <t>statements</t>
  </si>
  <si>
    <t>Received additional $5,750 in June for a total of $83,435</t>
  </si>
  <si>
    <t>Editing of SCVT video moved to Board Designated Funds</t>
  </si>
  <si>
    <t>Savings better than anticipated                   (Great job Board!)</t>
  </si>
  <si>
    <t>Teddy Bear Invoice reimbursed through Individual Giving</t>
  </si>
  <si>
    <t>Enrollment less than anticipated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</si>
</sst>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10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wrapText="1"/>
    </xf>
    <xf numFmtId="0" fontId="6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left" wrapText="1"/>
    </xf>
    <xf numFmtId="165" fontId="2" fillId="0" borderId="6" xfId="0" applyNumberFormat="1" applyFont="1" applyBorder="1" applyAlignment="1">
      <alignment horizontal="right" wrapText="1"/>
    </xf>
    <xf numFmtId="0" fontId="0" fillId="0" borderId="6" xfId="0" applyBorder="1"/>
    <xf numFmtId="0" fontId="5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tabSelected="1" workbookViewId="0">
      <pane xSplit="37" ySplit="6" topLeftCell="AL7" activePane="bottomRight" state="frozen"/>
      <selection pane="topRight" activeCell="AL1" sqref="AL1"/>
      <selection pane="bottomLeft" activeCell="A7" sqref="A7"/>
      <selection pane="bottomRight" activeCell="AL8" sqref="AL8"/>
    </sheetView>
  </sheetViews>
  <sheetFormatPr defaultRowHeight="15" x14ac:dyDescent="0.25"/>
  <cols>
    <col min="1" max="1" width="43.85546875" customWidth="1"/>
    <col min="2" max="5" width="10.28515625" hidden="1" customWidth="1"/>
    <col min="6" max="6" width="11.140625" hidden="1" customWidth="1"/>
    <col min="7" max="7" width="10.28515625" hidden="1" customWidth="1"/>
    <col min="8" max="10" width="11.140625" hidden="1" customWidth="1"/>
    <col min="11" max="12" width="9.42578125" hidden="1" customWidth="1"/>
    <col min="13" max="13" width="10.28515625" hidden="1" customWidth="1"/>
    <col min="14" max="14" width="11.140625" hidden="1" customWidth="1"/>
    <col min="15" max="15" width="9.42578125" hidden="1" customWidth="1"/>
    <col min="16" max="16" width="12" hidden="1" customWidth="1"/>
    <col min="17" max="17" width="9.42578125" hidden="1" customWidth="1"/>
    <col min="18" max="18" width="10.28515625" hidden="1" customWidth="1"/>
    <col min="19" max="19" width="11.140625" hidden="1" customWidth="1"/>
    <col min="20" max="20" width="7.7109375" hidden="1" customWidth="1"/>
    <col min="21" max="21" width="10.28515625" hidden="1" customWidth="1"/>
    <col min="22" max="22" width="11.140625" hidden="1" customWidth="1"/>
    <col min="23" max="23" width="7.7109375" hidden="1" customWidth="1"/>
    <col min="24" max="24" width="9.42578125" hidden="1" customWidth="1"/>
    <col min="25" max="25" width="11.140625" hidden="1" customWidth="1"/>
    <col min="26" max="26" width="7.7109375" hidden="1" customWidth="1"/>
    <col min="27" max="27" width="9.42578125" hidden="1" customWidth="1"/>
    <col min="28" max="28" width="11.140625" hidden="1" customWidth="1"/>
    <col min="29" max="29" width="7.7109375" hidden="1" customWidth="1"/>
    <col min="30" max="30" width="10.28515625" hidden="1" customWidth="1"/>
    <col min="31" max="31" width="11.140625" hidden="1" customWidth="1"/>
    <col min="32" max="32" width="7.7109375" hidden="1" customWidth="1"/>
    <col min="33" max="33" width="9.42578125" hidden="1" customWidth="1"/>
    <col min="34" max="34" width="11.140625" hidden="1" customWidth="1"/>
    <col min="35" max="35" width="7.7109375" hidden="1" customWidth="1"/>
    <col min="36" max="37" width="11.140625" hidden="1" customWidth="1"/>
    <col min="38" max="40" width="12" customWidth="1"/>
    <col min="41" max="41" width="2.7109375" customWidth="1"/>
    <col min="42" max="42" width="12" customWidth="1"/>
    <col min="43" max="43" width="2.7109375" customWidth="1"/>
    <col min="44" max="44" width="33.42578125" style="10" customWidth="1"/>
  </cols>
  <sheetData>
    <row r="1" spans="1:44" ht="18" x14ac:dyDescent="0.25">
      <c r="A1" s="9" t="s">
        <v>134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P1" s="8"/>
    </row>
    <row r="2" spans="1:44" ht="18" x14ac:dyDescent="0.25">
      <c r="A2" s="9" t="s">
        <v>135</v>
      </c>
    </row>
    <row r="3" spans="1:44" x14ac:dyDescent="0.25">
      <c r="A3" s="11" t="s">
        <v>4</v>
      </c>
    </row>
    <row r="5" spans="1:44" x14ac:dyDescent="0.25">
      <c r="A5" s="1"/>
      <c r="B5" s="22" t="s">
        <v>0</v>
      </c>
      <c r="C5" s="23"/>
      <c r="D5" s="23"/>
      <c r="E5" s="22" t="s">
        <v>1</v>
      </c>
      <c r="F5" s="23"/>
      <c r="G5" s="23"/>
      <c r="H5" s="22" t="s">
        <v>2</v>
      </c>
      <c r="I5" s="23"/>
      <c r="J5" s="23"/>
      <c r="K5" s="22" t="s">
        <v>3</v>
      </c>
      <c r="L5" s="23"/>
      <c r="M5" s="23"/>
      <c r="N5" s="22" t="s">
        <v>4</v>
      </c>
      <c r="O5" s="23"/>
      <c r="P5" s="23"/>
      <c r="Q5" s="22" t="s">
        <v>5</v>
      </c>
      <c r="R5" s="23"/>
      <c r="S5" s="23"/>
      <c r="T5" s="22" t="s">
        <v>6</v>
      </c>
      <c r="U5" s="23"/>
      <c r="V5" s="23"/>
      <c r="W5" s="22" t="s">
        <v>7</v>
      </c>
      <c r="X5" s="23"/>
      <c r="Y5" s="23"/>
      <c r="Z5" s="22" t="s">
        <v>8</v>
      </c>
      <c r="AA5" s="23"/>
      <c r="AB5" s="23"/>
      <c r="AC5" s="22" t="s">
        <v>9</v>
      </c>
      <c r="AD5" s="23"/>
      <c r="AE5" s="23"/>
      <c r="AF5" s="22" t="s">
        <v>10</v>
      </c>
      <c r="AG5" s="23"/>
      <c r="AH5" s="23"/>
      <c r="AI5" s="22" t="s">
        <v>11</v>
      </c>
      <c r="AJ5" s="23"/>
      <c r="AK5" s="23"/>
      <c r="AL5" s="24" t="s">
        <v>136</v>
      </c>
      <c r="AM5" s="25"/>
      <c r="AN5" s="25"/>
      <c r="AP5" s="12">
        <v>2019</v>
      </c>
    </row>
    <row r="6" spans="1:44" ht="24.75" x14ac:dyDescent="0.25">
      <c r="A6" s="1"/>
      <c r="B6" s="2" t="s">
        <v>12</v>
      </c>
      <c r="C6" s="2" t="s">
        <v>13</v>
      </c>
      <c r="D6" s="2" t="s">
        <v>14</v>
      </c>
      <c r="E6" s="2" t="s">
        <v>12</v>
      </c>
      <c r="F6" s="2" t="s">
        <v>13</v>
      </c>
      <c r="G6" s="2" t="s">
        <v>14</v>
      </c>
      <c r="H6" s="2" t="s">
        <v>12</v>
      </c>
      <c r="I6" s="2" t="s">
        <v>13</v>
      </c>
      <c r="J6" s="2" t="s">
        <v>14</v>
      </c>
      <c r="K6" s="2" t="s">
        <v>12</v>
      </c>
      <c r="L6" s="2" t="s">
        <v>13</v>
      </c>
      <c r="M6" s="2" t="s">
        <v>14</v>
      </c>
      <c r="N6" s="2" t="s">
        <v>12</v>
      </c>
      <c r="O6" s="2" t="s">
        <v>13</v>
      </c>
      <c r="P6" s="2" t="s">
        <v>14</v>
      </c>
      <c r="Q6" s="2" t="s">
        <v>12</v>
      </c>
      <c r="R6" s="2" t="s">
        <v>13</v>
      </c>
      <c r="S6" s="2" t="s">
        <v>14</v>
      </c>
      <c r="T6" s="2" t="s">
        <v>12</v>
      </c>
      <c r="U6" s="2" t="s">
        <v>13</v>
      </c>
      <c r="V6" s="2" t="s">
        <v>14</v>
      </c>
      <c r="W6" s="2" t="s">
        <v>12</v>
      </c>
      <c r="X6" s="2" t="s">
        <v>13</v>
      </c>
      <c r="Y6" s="2" t="s">
        <v>14</v>
      </c>
      <c r="Z6" s="2" t="s">
        <v>12</v>
      </c>
      <c r="AA6" s="2" t="s">
        <v>13</v>
      </c>
      <c r="AB6" s="2" t="s">
        <v>14</v>
      </c>
      <c r="AC6" s="2" t="s">
        <v>12</v>
      </c>
      <c r="AD6" s="2" t="s">
        <v>13</v>
      </c>
      <c r="AE6" s="2" t="s">
        <v>14</v>
      </c>
      <c r="AF6" s="2" t="s">
        <v>12</v>
      </c>
      <c r="AG6" s="2" t="s">
        <v>13</v>
      </c>
      <c r="AH6" s="2" t="s">
        <v>14</v>
      </c>
      <c r="AI6" s="2" t="s">
        <v>12</v>
      </c>
      <c r="AJ6" s="2" t="s">
        <v>13</v>
      </c>
      <c r="AK6" s="2" t="s">
        <v>14</v>
      </c>
      <c r="AL6" s="13" t="s">
        <v>12</v>
      </c>
      <c r="AM6" s="13" t="s">
        <v>13</v>
      </c>
      <c r="AN6" s="13" t="s">
        <v>14</v>
      </c>
      <c r="AP6" s="13" t="s">
        <v>13</v>
      </c>
      <c r="AR6" s="14" t="s">
        <v>137</v>
      </c>
    </row>
    <row r="7" spans="1:44" x14ac:dyDescent="0.25">
      <c r="A7" s="3" t="s">
        <v>15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P7" s="4"/>
    </row>
    <row r="8" spans="1:44" x14ac:dyDescent="0.25">
      <c r="A8" s="3" t="s">
        <v>16</v>
      </c>
      <c r="B8" s="4"/>
      <c r="C8" s="4"/>
      <c r="D8" s="5">
        <f t="shared" ref="D8:D45" si="0">(B8)-(C8)</f>
        <v>0</v>
      </c>
      <c r="E8" s="4"/>
      <c r="F8" s="4"/>
      <c r="G8" s="5">
        <f t="shared" ref="G8:G45" si="1">(E8)-(F8)</f>
        <v>0</v>
      </c>
      <c r="H8" s="4"/>
      <c r="I8" s="4"/>
      <c r="J8" s="5">
        <f t="shared" ref="J8:J45" si="2">(H8)-(I8)</f>
        <v>0</v>
      </c>
      <c r="K8" s="4"/>
      <c r="L8" s="4"/>
      <c r="M8" s="5">
        <f t="shared" ref="M8:M45" si="3">(K8)-(L8)</f>
        <v>0</v>
      </c>
      <c r="N8" s="4"/>
      <c r="O8" s="4"/>
      <c r="P8" s="5">
        <f t="shared" ref="P8:P45" si="4">(N8)-(O8)</f>
        <v>0</v>
      </c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5">
        <f t="shared" ref="AL8:AL45" si="5">(((((((((((B8)+(E8))+(H8))+(K8))+(N8))+(Q8))+(T8))+(W8))+(Z8))+(AC8))+(AF8))+(AI8)</f>
        <v>0</v>
      </c>
      <c r="AM8" s="5">
        <f t="shared" ref="AM8:AM45" si="6">(((((((((((C8)+(F8))+(I8))+(L8))+(O8))+(R8))+(U8))+(X8))+(AA8))+(AD8))+(AG8))+(AJ8)</f>
        <v>0</v>
      </c>
      <c r="AN8" s="5">
        <f t="shared" ref="AN8:AN45" si="7">(AL8)-(AM8)</f>
        <v>0</v>
      </c>
      <c r="AP8" s="5">
        <v>0</v>
      </c>
    </row>
    <row r="9" spans="1:44" x14ac:dyDescent="0.25">
      <c r="A9" s="3" t="s">
        <v>17</v>
      </c>
      <c r="B9" s="5">
        <f>400</f>
        <v>400</v>
      </c>
      <c r="C9" s="5">
        <f>1700</f>
        <v>1700</v>
      </c>
      <c r="D9" s="5">
        <f t="shared" si="0"/>
        <v>-1300</v>
      </c>
      <c r="E9" s="5">
        <f>333</f>
        <v>333</v>
      </c>
      <c r="F9" s="5">
        <f>0</f>
        <v>0</v>
      </c>
      <c r="G9" s="5">
        <f t="shared" si="1"/>
        <v>333</v>
      </c>
      <c r="H9" s="4"/>
      <c r="I9" s="5">
        <f>4000</f>
        <v>4000</v>
      </c>
      <c r="J9" s="5">
        <f t="shared" si="2"/>
        <v>-4000</v>
      </c>
      <c r="K9" s="4"/>
      <c r="L9" s="5">
        <f>0</f>
        <v>0</v>
      </c>
      <c r="M9" s="5">
        <f t="shared" si="3"/>
        <v>0</v>
      </c>
      <c r="N9" s="4"/>
      <c r="O9" s="5">
        <f>0</f>
        <v>0</v>
      </c>
      <c r="P9" s="5">
        <f t="shared" si="4"/>
        <v>0</v>
      </c>
      <c r="Q9" s="4"/>
      <c r="R9" s="5"/>
      <c r="S9" s="5"/>
      <c r="T9" s="4"/>
      <c r="U9" s="5"/>
      <c r="V9" s="5"/>
      <c r="W9" s="4"/>
      <c r="X9" s="5"/>
      <c r="Y9" s="5"/>
      <c r="Z9" s="4"/>
      <c r="AA9" s="5"/>
      <c r="AB9" s="5"/>
      <c r="AC9" s="4"/>
      <c r="AD9" s="5"/>
      <c r="AE9" s="5"/>
      <c r="AF9" s="4"/>
      <c r="AG9" s="5"/>
      <c r="AH9" s="5"/>
      <c r="AI9" s="4"/>
      <c r="AJ9" s="5"/>
      <c r="AK9" s="5"/>
      <c r="AL9" s="5">
        <f t="shared" si="5"/>
        <v>733</v>
      </c>
      <c r="AM9" s="5">
        <f t="shared" si="6"/>
        <v>5700</v>
      </c>
      <c r="AN9" s="5">
        <f t="shared" si="7"/>
        <v>-4967</v>
      </c>
      <c r="AP9" s="5">
        <v>20000</v>
      </c>
      <c r="AR9" s="10" t="s">
        <v>138</v>
      </c>
    </row>
    <row r="10" spans="1:44" x14ac:dyDescent="0.25">
      <c r="A10" s="3" t="s">
        <v>18</v>
      </c>
      <c r="B10" s="5">
        <f>17598</f>
        <v>17598</v>
      </c>
      <c r="C10" s="5">
        <f>3500</f>
        <v>3500</v>
      </c>
      <c r="D10" s="5">
        <f t="shared" si="0"/>
        <v>14098</v>
      </c>
      <c r="E10" s="5">
        <f>230</f>
        <v>230</v>
      </c>
      <c r="F10" s="5">
        <f>400</f>
        <v>400</v>
      </c>
      <c r="G10" s="5">
        <f t="shared" si="1"/>
        <v>-170</v>
      </c>
      <c r="H10" s="5">
        <f>1030</f>
        <v>1030</v>
      </c>
      <c r="I10" s="5">
        <f>200</f>
        <v>200</v>
      </c>
      <c r="J10" s="5">
        <f t="shared" si="2"/>
        <v>830</v>
      </c>
      <c r="K10" s="4"/>
      <c r="L10" s="5">
        <f>400</f>
        <v>400</v>
      </c>
      <c r="M10" s="5">
        <f t="shared" si="3"/>
        <v>-400</v>
      </c>
      <c r="N10" s="4"/>
      <c r="O10" s="5">
        <f>800</f>
        <v>800</v>
      </c>
      <c r="P10" s="5">
        <f t="shared" si="4"/>
        <v>-800</v>
      </c>
      <c r="Q10" s="4"/>
      <c r="R10" s="5"/>
      <c r="S10" s="5"/>
      <c r="T10" s="4"/>
      <c r="U10" s="5"/>
      <c r="V10" s="5"/>
      <c r="W10" s="4"/>
      <c r="X10" s="5"/>
      <c r="Y10" s="5"/>
      <c r="Z10" s="4"/>
      <c r="AA10" s="5"/>
      <c r="AB10" s="5"/>
      <c r="AC10" s="4"/>
      <c r="AD10" s="5"/>
      <c r="AE10" s="5"/>
      <c r="AF10" s="4"/>
      <c r="AG10" s="5"/>
      <c r="AH10" s="5"/>
      <c r="AI10" s="4"/>
      <c r="AJ10" s="5"/>
      <c r="AK10" s="5"/>
      <c r="AL10" s="5">
        <f t="shared" si="5"/>
        <v>18858</v>
      </c>
      <c r="AM10" s="5">
        <f t="shared" si="6"/>
        <v>5300</v>
      </c>
      <c r="AN10" s="5">
        <f t="shared" si="7"/>
        <v>13558</v>
      </c>
      <c r="AP10" s="5">
        <v>20000</v>
      </c>
      <c r="AR10" s="10" t="s">
        <v>139</v>
      </c>
    </row>
    <row r="11" spans="1:44" x14ac:dyDescent="0.25">
      <c r="A11" s="3" t="s">
        <v>19</v>
      </c>
      <c r="B11" s="5">
        <f>8</f>
        <v>8</v>
      </c>
      <c r="C11" s="5">
        <f>500</f>
        <v>500</v>
      </c>
      <c r="D11" s="5">
        <f t="shared" si="0"/>
        <v>-492</v>
      </c>
      <c r="E11" s="5">
        <f>5.12</f>
        <v>5.12</v>
      </c>
      <c r="F11" s="5">
        <f>0</f>
        <v>0</v>
      </c>
      <c r="G11" s="5">
        <f t="shared" si="1"/>
        <v>5.12</v>
      </c>
      <c r="H11" s="4"/>
      <c r="I11" s="5">
        <f>0</f>
        <v>0</v>
      </c>
      <c r="J11" s="5">
        <f t="shared" si="2"/>
        <v>0</v>
      </c>
      <c r="K11" s="4"/>
      <c r="L11" s="5">
        <f>0</f>
        <v>0</v>
      </c>
      <c r="M11" s="5">
        <f t="shared" si="3"/>
        <v>0</v>
      </c>
      <c r="N11" s="5">
        <f>5.37</f>
        <v>5.37</v>
      </c>
      <c r="O11" s="5">
        <f>0</f>
        <v>0</v>
      </c>
      <c r="P11" s="5">
        <f t="shared" si="4"/>
        <v>5.37</v>
      </c>
      <c r="Q11" s="4"/>
      <c r="R11" s="5"/>
      <c r="S11" s="5"/>
      <c r="T11" s="4"/>
      <c r="U11" s="5"/>
      <c r="V11" s="5"/>
      <c r="W11" s="4"/>
      <c r="X11" s="5"/>
      <c r="Y11" s="5"/>
      <c r="Z11" s="4"/>
      <c r="AA11" s="5"/>
      <c r="AB11" s="5"/>
      <c r="AC11" s="4"/>
      <c r="AD11" s="5"/>
      <c r="AE11" s="5"/>
      <c r="AF11" s="4"/>
      <c r="AG11" s="5"/>
      <c r="AH11" s="5"/>
      <c r="AI11" s="4"/>
      <c r="AJ11" s="5"/>
      <c r="AK11" s="5"/>
      <c r="AL11" s="5">
        <f t="shared" si="5"/>
        <v>18.490000000000002</v>
      </c>
      <c r="AM11" s="5">
        <f t="shared" si="6"/>
        <v>500</v>
      </c>
      <c r="AN11" s="5">
        <f t="shared" si="7"/>
        <v>-481.51</v>
      </c>
      <c r="AP11" s="5">
        <v>500</v>
      </c>
    </row>
    <row r="12" spans="1:44" x14ac:dyDescent="0.25">
      <c r="A12" s="3" t="s">
        <v>20</v>
      </c>
      <c r="B12" s="6">
        <f>(((B8)+(B9))+(B10))+(B11)</f>
        <v>18006</v>
      </c>
      <c r="C12" s="6">
        <f>(((C8)+(C9))+(C10))+(C11)</f>
        <v>5700</v>
      </c>
      <c r="D12" s="6">
        <f t="shared" si="0"/>
        <v>12306</v>
      </c>
      <c r="E12" s="6">
        <f>(((E8)+(E9))+(E10))+(E11)</f>
        <v>568.12</v>
      </c>
      <c r="F12" s="6">
        <f>(((F8)+(F9))+(F10))+(F11)</f>
        <v>400</v>
      </c>
      <c r="G12" s="6">
        <f t="shared" si="1"/>
        <v>168.12</v>
      </c>
      <c r="H12" s="6">
        <f>(((H8)+(H9))+(H10))+(H11)</f>
        <v>1030</v>
      </c>
      <c r="I12" s="6">
        <f>(((I8)+(I9))+(I10))+(I11)</f>
        <v>4200</v>
      </c>
      <c r="J12" s="6">
        <f t="shared" si="2"/>
        <v>-3170</v>
      </c>
      <c r="K12" s="6">
        <f>(((K8)+(K9))+(K10))+(K11)</f>
        <v>0</v>
      </c>
      <c r="L12" s="6">
        <f>(((L8)+(L9))+(L10))+(L11)</f>
        <v>400</v>
      </c>
      <c r="M12" s="6">
        <f t="shared" si="3"/>
        <v>-400</v>
      </c>
      <c r="N12" s="6">
        <f>(((N8)+(N9))+(N10))+(N11)</f>
        <v>5.37</v>
      </c>
      <c r="O12" s="6">
        <f>(((O8)+(O9))+(O10))+(O11)</f>
        <v>800</v>
      </c>
      <c r="P12" s="6">
        <f t="shared" si="4"/>
        <v>-794.63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>
        <f t="shared" si="5"/>
        <v>19609.489999999998</v>
      </c>
      <c r="AM12" s="6">
        <f t="shared" si="6"/>
        <v>11500</v>
      </c>
      <c r="AN12" s="6">
        <f t="shared" si="7"/>
        <v>8109.489999999998</v>
      </c>
      <c r="AP12" s="6">
        <v>40500</v>
      </c>
    </row>
    <row r="13" spans="1:44" x14ac:dyDescent="0.25">
      <c r="A13" s="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P13" s="15"/>
    </row>
    <row r="14" spans="1:44" x14ac:dyDescent="0.25">
      <c r="A14" s="3" t="s">
        <v>21</v>
      </c>
      <c r="B14" s="5">
        <f>16000</f>
        <v>16000</v>
      </c>
      <c r="C14" s="5">
        <f>16000</f>
        <v>16000</v>
      </c>
      <c r="D14" s="5">
        <f t="shared" si="0"/>
        <v>0</v>
      </c>
      <c r="E14" s="4"/>
      <c r="F14" s="5">
        <f>0</f>
        <v>0</v>
      </c>
      <c r="G14" s="5">
        <f t="shared" si="1"/>
        <v>0</v>
      </c>
      <c r="H14" s="4"/>
      <c r="I14" s="5">
        <f>0</f>
        <v>0</v>
      </c>
      <c r="J14" s="5">
        <f t="shared" si="2"/>
        <v>0</v>
      </c>
      <c r="K14" s="5">
        <f>16000</f>
        <v>16000</v>
      </c>
      <c r="L14" s="5">
        <f>16000</f>
        <v>16000</v>
      </c>
      <c r="M14" s="5">
        <f t="shared" si="3"/>
        <v>0</v>
      </c>
      <c r="N14" s="4"/>
      <c r="O14" s="5">
        <f>0</f>
        <v>0</v>
      </c>
      <c r="P14" s="5">
        <f t="shared" si="4"/>
        <v>0</v>
      </c>
      <c r="Q14" s="4"/>
      <c r="R14" s="5"/>
      <c r="S14" s="5"/>
      <c r="T14" s="4"/>
      <c r="U14" s="5"/>
      <c r="V14" s="5"/>
      <c r="W14" s="4"/>
      <c r="X14" s="5"/>
      <c r="Y14" s="5"/>
      <c r="Z14" s="4"/>
      <c r="AA14" s="5"/>
      <c r="AB14" s="5"/>
      <c r="AC14" s="4"/>
      <c r="AD14" s="5"/>
      <c r="AE14" s="5"/>
      <c r="AF14" s="4"/>
      <c r="AG14" s="5"/>
      <c r="AH14" s="5"/>
      <c r="AI14" s="4"/>
      <c r="AJ14" s="5"/>
      <c r="AK14" s="5"/>
      <c r="AL14" s="5">
        <f t="shared" si="5"/>
        <v>32000</v>
      </c>
      <c r="AM14" s="5">
        <f t="shared" si="6"/>
        <v>32000</v>
      </c>
      <c r="AN14" s="5">
        <f t="shared" si="7"/>
        <v>0</v>
      </c>
      <c r="AP14" s="5">
        <v>64000</v>
      </c>
    </row>
    <row r="15" spans="1:44" x14ac:dyDescent="0.25">
      <c r="A15" s="3" t="s">
        <v>22</v>
      </c>
      <c r="B15" s="4"/>
      <c r="C15" s="5">
        <f>0</f>
        <v>0</v>
      </c>
      <c r="D15" s="5">
        <f t="shared" si="0"/>
        <v>0</v>
      </c>
      <c r="E15" s="4"/>
      <c r="F15" s="5">
        <f>0</f>
        <v>0</v>
      </c>
      <c r="G15" s="5">
        <f t="shared" si="1"/>
        <v>0</v>
      </c>
      <c r="H15" s="4"/>
      <c r="I15" s="5">
        <f>0</f>
        <v>0</v>
      </c>
      <c r="J15" s="5">
        <f t="shared" si="2"/>
        <v>0</v>
      </c>
      <c r="K15" s="5">
        <f>1500</f>
        <v>1500</v>
      </c>
      <c r="L15" s="5">
        <f>0</f>
        <v>0</v>
      </c>
      <c r="M15" s="5">
        <f t="shared" si="3"/>
        <v>1500</v>
      </c>
      <c r="N15" s="4"/>
      <c r="O15" s="5">
        <f>0</f>
        <v>0</v>
      </c>
      <c r="P15" s="5">
        <f t="shared" si="4"/>
        <v>0</v>
      </c>
      <c r="Q15" s="4"/>
      <c r="R15" s="5"/>
      <c r="S15" s="5"/>
      <c r="T15" s="4"/>
      <c r="U15" s="5"/>
      <c r="V15" s="5"/>
      <c r="W15" s="4"/>
      <c r="X15" s="5"/>
      <c r="Y15" s="5"/>
      <c r="Z15" s="4"/>
      <c r="AA15" s="5"/>
      <c r="AB15" s="5"/>
      <c r="AC15" s="4"/>
      <c r="AD15" s="5"/>
      <c r="AE15" s="5"/>
      <c r="AF15" s="4"/>
      <c r="AG15" s="5"/>
      <c r="AH15" s="5"/>
      <c r="AI15" s="4"/>
      <c r="AJ15" s="5"/>
      <c r="AK15" s="5"/>
      <c r="AL15" s="5">
        <f t="shared" si="5"/>
        <v>1500</v>
      </c>
      <c r="AM15" s="5">
        <f t="shared" si="6"/>
        <v>0</v>
      </c>
      <c r="AN15" s="5">
        <f t="shared" si="7"/>
        <v>1500</v>
      </c>
      <c r="AP15" s="5">
        <v>1000</v>
      </c>
    </row>
    <row r="16" spans="1:44" x14ac:dyDescent="0.25">
      <c r="A16" s="3" t="s">
        <v>23</v>
      </c>
      <c r="B16" s="4"/>
      <c r="C16" s="5">
        <f>0</f>
        <v>0</v>
      </c>
      <c r="D16" s="5">
        <f t="shared" si="0"/>
        <v>0</v>
      </c>
      <c r="E16" s="5">
        <f>7649</f>
        <v>7649</v>
      </c>
      <c r="F16" s="5">
        <f>0</f>
        <v>0</v>
      </c>
      <c r="G16" s="5">
        <f t="shared" si="1"/>
        <v>7649</v>
      </c>
      <c r="H16" s="4"/>
      <c r="I16" s="5">
        <f>0</f>
        <v>0</v>
      </c>
      <c r="J16" s="5">
        <f t="shared" si="2"/>
        <v>0</v>
      </c>
      <c r="K16" s="4"/>
      <c r="L16" s="5">
        <f>6076</f>
        <v>6076</v>
      </c>
      <c r="M16" s="5">
        <f t="shared" si="3"/>
        <v>-6076</v>
      </c>
      <c r="N16" s="4"/>
      <c r="O16" s="5">
        <f>0</f>
        <v>0</v>
      </c>
      <c r="P16" s="5">
        <f t="shared" si="4"/>
        <v>0</v>
      </c>
      <c r="Q16" s="4"/>
      <c r="R16" s="5"/>
      <c r="S16" s="5"/>
      <c r="T16" s="4"/>
      <c r="U16" s="5"/>
      <c r="V16" s="5"/>
      <c r="W16" s="4"/>
      <c r="X16" s="5"/>
      <c r="Y16" s="5"/>
      <c r="Z16" s="4"/>
      <c r="AA16" s="5"/>
      <c r="AB16" s="5"/>
      <c r="AC16" s="4"/>
      <c r="AD16" s="5"/>
      <c r="AE16" s="5"/>
      <c r="AF16" s="4"/>
      <c r="AG16" s="5"/>
      <c r="AH16" s="5"/>
      <c r="AI16" s="4"/>
      <c r="AJ16" s="5"/>
      <c r="AK16" s="5"/>
      <c r="AL16" s="5">
        <f t="shared" si="5"/>
        <v>7649</v>
      </c>
      <c r="AM16" s="5">
        <f t="shared" si="6"/>
        <v>6076</v>
      </c>
      <c r="AN16" s="5">
        <f t="shared" si="7"/>
        <v>1573</v>
      </c>
      <c r="AP16" s="5">
        <v>6076</v>
      </c>
    </row>
    <row r="17" spans="1:44" x14ac:dyDescent="0.25">
      <c r="A17" s="3" t="s">
        <v>24</v>
      </c>
      <c r="B17" s="4"/>
      <c r="C17" s="5">
        <f>0</f>
        <v>0</v>
      </c>
      <c r="D17" s="5">
        <f t="shared" si="0"/>
        <v>0</v>
      </c>
      <c r="E17" s="4"/>
      <c r="F17" s="5">
        <f>0</f>
        <v>0</v>
      </c>
      <c r="G17" s="5">
        <f t="shared" si="1"/>
        <v>0</v>
      </c>
      <c r="H17" s="4"/>
      <c r="I17" s="5">
        <f>0</f>
        <v>0</v>
      </c>
      <c r="J17" s="5">
        <f t="shared" si="2"/>
        <v>0</v>
      </c>
      <c r="K17" s="4"/>
      <c r="L17" s="5">
        <f>0</f>
        <v>0</v>
      </c>
      <c r="M17" s="5">
        <f t="shared" si="3"/>
        <v>0</v>
      </c>
      <c r="N17" s="4"/>
      <c r="O17" s="5">
        <f>0</f>
        <v>0</v>
      </c>
      <c r="P17" s="5">
        <f t="shared" si="4"/>
        <v>0</v>
      </c>
      <c r="Q17" s="4"/>
      <c r="R17" s="5"/>
      <c r="S17" s="5"/>
      <c r="T17" s="4"/>
      <c r="U17" s="5"/>
      <c r="V17" s="5"/>
      <c r="W17" s="4"/>
      <c r="X17" s="5"/>
      <c r="Y17" s="5"/>
      <c r="Z17" s="4"/>
      <c r="AA17" s="5"/>
      <c r="AB17" s="5"/>
      <c r="AC17" s="4"/>
      <c r="AD17" s="5"/>
      <c r="AE17" s="5"/>
      <c r="AF17" s="4"/>
      <c r="AG17" s="5"/>
      <c r="AH17" s="5"/>
      <c r="AI17" s="4"/>
      <c r="AJ17" s="5"/>
      <c r="AK17" s="5"/>
      <c r="AL17" s="5">
        <f t="shared" si="5"/>
        <v>0</v>
      </c>
      <c r="AM17" s="5">
        <f t="shared" si="6"/>
        <v>0</v>
      </c>
      <c r="AN17" s="5">
        <f t="shared" si="7"/>
        <v>0</v>
      </c>
      <c r="AP17" s="5">
        <v>500</v>
      </c>
    </row>
    <row r="18" spans="1:44" x14ac:dyDescent="0.25">
      <c r="A18" s="3"/>
      <c r="B18" s="4"/>
      <c r="C18" s="5"/>
      <c r="D18" s="5"/>
      <c r="E18" s="4"/>
      <c r="F18" s="5"/>
      <c r="G18" s="5"/>
      <c r="H18" s="4"/>
      <c r="I18" s="5"/>
      <c r="J18" s="5"/>
      <c r="K18" s="4"/>
      <c r="L18" s="5"/>
      <c r="M18" s="5"/>
      <c r="N18" s="4"/>
      <c r="O18" s="5"/>
      <c r="P18" s="5"/>
      <c r="Q18" s="4"/>
      <c r="R18" s="5"/>
      <c r="S18" s="5"/>
      <c r="T18" s="4"/>
      <c r="U18" s="5"/>
      <c r="V18" s="5"/>
      <c r="W18" s="4"/>
      <c r="X18" s="5"/>
      <c r="Y18" s="5"/>
      <c r="Z18" s="4"/>
      <c r="AA18" s="5"/>
      <c r="AB18" s="5"/>
      <c r="AC18" s="4"/>
      <c r="AD18" s="5"/>
      <c r="AE18" s="5"/>
      <c r="AF18" s="4"/>
      <c r="AG18" s="5"/>
      <c r="AH18" s="5"/>
      <c r="AI18" s="4"/>
      <c r="AJ18" s="5"/>
      <c r="AK18" s="5"/>
      <c r="AL18" s="5"/>
      <c r="AM18" s="5"/>
      <c r="AN18" s="5"/>
      <c r="AP18" s="5"/>
    </row>
    <row r="19" spans="1:44" x14ac:dyDescent="0.25">
      <c r="A19" s="3" t="s">
        <v>25</v>
      </c>
      <c r="B19" s="4"/>
      <c r="C19" s="4"/>
      <c r="D19" s="5">
        <f t="shared" si="0"/>
        <v>0</v>
      </c>
      <c r="E19" s="4"/>
      <c r="F19" s="4"/>
      <c r="G19" s="5">
        <f t="shared" si="1"/>
        <v>0</v>
      </c>
      <c r="H19" s="4"/>
      <c r="I19" s="4"/>
      <c r="J19" s="5">
        <f t="shared" si="2"/>
        <v>0</v>
      </c>
      <c r="K19" s="4"/>
      <c r="L19" s="4"/>
      <c r="M19" s="5">
        <f t="shared" si="3"/>
        <v>0</v>
      </c>
      <c r="N19" s="4"/>
      <c r="O19" s="4"/>
      <c r="P19" s="5">
        <f t="shared" si="4"/>
        <v>0</v>
      </c>
      <c r="Q19" s="4"/>
      <c r="R19" s="4"/>
      <c r="S19" s="5"/>
      <c r="T19" s="4"/>
      <c r="U19" s="4"/>
      <c r="V19" s="5"/>
      <c r="W19" s="4"/>
      <c r="X19" s="4"/>
      <c r="Y19" s="5"/>
      <c r="Z19" s="4"/>
      <c r="AA19" s="4"/>
      <c r="AB19" s="5"/>
      <c r="AC19" s="4"/>
      <c r="AD19" s="4"/>
      <c r="AE19" s="5"/>
      <c r="AF19" s="4"/>
      <c r="AG19" s="4"/>
      <c r="AH19" s="5"/>
      <c r="AI19" s="4"/>
      <c r="AJ19" s="4"/>
      <c r="AK19" s="5"/>
      <c r="AL19" s="5">
        <f t="shared" si="5"/>
        <v>0</v>
      </c>
      <c r="AM19" s="5">
        <f t="shared" si="6"/>
        <v>0</v>
      </c>
      <c r="AN19" s="5">
        <f t="shared" si="7"/>
        <v>0</v>
      </c>
      <c r="AP19" s="5">
        <v>0</v>
      </c>
    </row>
    <row r="20" spans="1:44" x14ac:dyDescent="0.25">
      <c r="A20" s="3" t="s">
        <v>26</v>
      </c>
      <c r="B20" s="4"/>
      <c r="C20" s="5">
        <f>0</f>
        <v>0</v>
      </c>
      <c r="D20" s="5">
        <f t="shared" si="0"/>
        <v>0</v>
      </c>
      <c r="E20" s="4"/>
      <c r="F20" s="5">
        <f>0</f>
        <v>0</v>
      </c>
      <c r="G20" s="5">
        <f t="shared" si="1"/>
        <v>0</v>
      </c>
      <c r="H20" s="4"/>
      <c r="I20" s="5"/>
      <c r="J20" s="5">
        <f t="shared" si="2"/>
        <v>0</v>
      </c>
      <c r="K20" s="4"/>
      <c r="L20" s="5">
        <f>0</f>
        <v>0</v>
      </c>
      <c r="M20" s="5">
        <f t="shared" si="3"/>
        <v>0</v>
      </c>
      <c r="N20" s="4"/>
      <c r="O20" s="5">
        <f>0</f>
        <v>0</v>
      </c>
      <c r="P20" s="5">
        <f t="shared" si="4"/>
        <v>0</v>
      </c>
      <c r="Q20" s="4"/>
      <c r="R20" s="5"/>
      <c r="S20" s="5"/>
      <c r="T20" s="4"/>
      <c r="U20" s="5"/>
      <c r="V20" s="5"/>
      <c r="W20" s="4"/>
      <c r="X20" s="5"/>
      <c r="Y20" s="5"/>
      <c r="Z20" s="4"/>
      <c r="AA20" s="5"/>
      <c r="AB20" s="5"/>
      <c r="AC20" s="4"/>
      <c r="AD20" s="5"/>
      <c r="AE20" s="5"/>
      <c r="AF20" s="4"/>
      <c r="AG20" s="5"/>
      <c r="AH20" s="5"/>
      <c r="AI20" s="4"/>
      <c r="AJ20" s="5"/>
      <c r="AK20" s="5"/>
      <c r="AL20" s="5">
        <f t="shared" si="5"/>
        <v>0</v>
      </c>
      <c r="AM20" s="5">
        <f t="shared" si="6"/>
        <v>0</v>
      </c>
      <c r="AN20" s="5">
        <f t="shared" si="7"/>
        <v>0</v>
      </c>
      <c r="AP20" s="5">
        <v>9875</v>
      </c>
    </row>
    <row r="21" spans="1:44" x14ac:dyDescent="0.25">
      <c r="A21" s="3" t="s">
        <v>27</v>
      </c>
      <c r="B21" s="4"/>
      <c r="C21" s="5">
        <f>0</f>
        <v>0</v>
      </c>
      <c r="D21" s="5">
        <f t="shared" si="0"/>
        <v>0</v>
      </c>
      <c r="E21" s="4"/>
      <c r="F21" s="5">
        <f>0</f>
        <v>0</v>
      </c>
      <c r="G21" s="5">
        <f t="shared" si="1"/>
        <v>0</v>
      </c>
      <c r="H21" s="5">
        <f>100</f>
        <v>100</v>
      </c>
      <c r="I21" s="5">
        <v>9875</v>
      </c>
      <c r="J21" s="5">
        <f t="shared" si="2"/>
        <v>-9775</v>
      </c>
      <c r="K21" s="5">
        <f>75</f>
        <v>75</v>
      </c>
      <c r="L21" s="5">
        <f>0</f>
        <v>0</v>
      </c>
      <c r="M21" s="5">
        <f t="shared" si="3"/>
        <v>75</v>
      </c>
      <c r="N21" s="5">
        <f>2625-1375</f>
        <v>1250</v>
      </c>
      <c r="O21" s="5">
        <f>0</f>
        <v>0</v>
      </c>
      <c r="P21" s="5">
        <f t="shared" si="4"/>
        <v>1250</v>
      </c>
      <c r="Q21" s="4"/>
      <c r="R21" s="5"/>
      <c r="S21" s="5"/>
      <c r="T21" s="4"/>
      <c r="U21" s="5"/>
      <c r="V21" s="5"/>
      <c r="W21" s="4"/>
      <c r="X21" s="5"/>
      <c r="Y21" s="5"/>
      <c r="Z21" s="4"/>
      <c r="AA21" s="5"/>
      <c r="AB21" s="5"/>
      <c r="AC21" s="4"/>
      <c r="AD21" s="5"/>
      <c r="AE21" s="5"/>
      <c r="AF21" s="4"/>
      <c r="AG21" s="5"/>
      <c r="AH21" s="5"/>
      <c r="AI21" s="4"/>
      <c r="AJ21" s="5"/>
      <c r="AK21" s="5"/>
      <c r="AL21" s="5">
        <f>(((((((((((B21)+(E21))+(H21))+(K21))+(N21))+(Q21))+(T21))+(W21))+(Z21))+(AC21))+(AF21))+(AI21)</f>
        <v>1425</v>
      </c>
      <c r="AM21" s="5">
        <f t="shared" si="6"/>
        <v>9875</v>
      </c>
      <c r="AN21" s="5">
        <f t="shared" si="7"/>
        <v>-8450</v>
      </c>
      <c r="AP21" s="5">
        <v>9875</v>
      </c>
      <c r="AR21" s="10" t="s">
        <v>148</v>
      </c>
    </row>
    <row r="22" spans="1:44" x14ac:dyDescent="0.25">
      <c r="A22" s="3" t="s">
        <v>28</v>
      </c>
      <c r="B22" s="4"/>
      <c r="C22" s="5">
        <f>0</f>
        <v>0</v>
      </c>
      <c r="D22" s="5">
        <f t="shared" si="0"/>
        <v>0</v>
      </c>
      <c r="E22" s="4"/>
      <c r="F22" s="5">
        <f>0</f>
        <v>0</v>
      </c>
      <c r="G22" s="5">
        <f t="shared" si="1"/>
        <v>0</v>
      </c>
      <c r="H22" s="4"/>
      <c r="I22" s="5">
        <f>0</f>
        <v>0</v>
      </c>
      <c r="J22" s="5">
        <f t="shared" si="2"/>
        <v>0</v>
      </c>
      <c r="K22" s="4"/>
      <c r="L22" s="5">
        <f>0</f>
        <v>0</v>
      </c>
      <c r="M22" s="5">
        <f t="shared" si="3"/>
        <v>0</v>
      </c>
      <c r="N22" s="4"/>
      <c r="O22" s="5">
        <f>0</f>
        <v>0</v>
      </c>
      <c r="P22" s="5">
        <f t="shared" si="4"/>
        <v>0</v>
      </c>
      <c r="Q22" s="4"/>
      <c r="R22" s="5"/>
      <c r="S22" s="5"/>
      <c r="T22" s="4"/>
      <c r="U22" s="5"/>
      <c r="V22" s="5"/>
      <c r="W22" s="4"/>
      <c r="X22" s="5"/>
      <c r="Y22" s="5"/>
      <c r="Z22" s="4"/>
      <c r="AA22" s="5"/>
      <c r="AB22" s="5"/>
      <c r="AC22" s="4"/>
      <c r="AD22" s="5"/>
      <c r="AE22" s="5"/>
      <c r="AF22" s="4"/>
      <c r="AG22" s="5"/>
      <c r="AH22" s="5"/>
      <c r="AI22" s="4"/>
      <c r="AJ22" s="5"/>
      <c r="AK22" s="5"/>
      <c r="AL22" s="5">
        <f t="shared" si="5"/>
        <v>0</v>
      </c>
      <c r="AM22" s="5">
        <f t="shared" si="6"/>
        <v>0</v>
      </c>
      <c r="AN22" s="5">
        <f t="shared" si="7"/>
        <v>0</v>
      </c>
      <c r="AP22" s="5">
        <v>9875</v>
      </c>
    </row>
    <row r="23" spans="1:44" x14ac:dyDescent="0.25">
      <c r="A23" s="3" t="s">
        <v>29</v>
      </c>
      <c r="B23" s="6">
        <f>(((B19)+(B20))+(B21))+(B22)</f>
        <v>0</v>
      </c>
      <c r="C23" s="6">
        <f>(((C19)+(C20))+(C21))+(C22)</f>
        <v>0</v>
      </c>
      <c r="D23" s="6">
        <f t="shared" si="0"/>
        <v>0</v>
      </c>
      <c r="E23" s="6">
        <f>(((E19)+(E20))+(E21))+(E22)</f>
        <v>0</v>
      </c>
      <c r="F23" s="6">
        <f>(((F19)+(F20))+(F21))+(F22)</f>
        <v>0</v>
      </c>
      <c r="G23" s="6">
        <f t="shared" si="1"/>
        <v>0</v>
      </c>
      <c r="H23" s="6">
        <f>(((H19)+(H20))+(H21))+(H22)</f>
        <v>100</v>
      </c>
      <c r="I23" s="6">
        <f>(((I19)+(I20))+(I21))+(I22)</f>
        <v>9875</v>
      </c>
      <c r="J23" s="6">
        <f t="shared" si="2"/>
        <v>-9775</v>
      </c>
      <c r="K23" s="6">
        <f>(((K19)+(K20))+(K21))+(K22)</f>
        <v>75</v>
      </c>
      <c r="L23" s="6">
        <f>(((L19)+(L20))+(L21))+(L22)</f>
        <v>0</v>
      </c>
      <c r="M23" s="6">
        <f t="shared" si="3"/>
        <v>75</v>
      </c>
      <c r="N23" s="6">
        <f>(((N19)+(N20))+(N21))+(N22)</f>
        <v>1250</v>
      </c>
      <c r="O23" s="6">
        <f>(((O19)+(O20))+(O21))+(O22)</f>
        <v>0</v>
      </c>
      <c r="P23" s="6">
        <f t="shared" si="4"/>
        <v>1250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>
        <f t="shared" si="5"/>
        <v>1425</v>
      </c>
      <c r="AM23" s="6">
        <f t="shared" si="6"/>
        <v>9875</v>
      </c>
      <c r="AN23" s="6">
        <f t="shared" si="7"/>
        <v>-8450</v>
      </c>
      <c r="AP23" s="6">
        <v>29625</v>
      </c>
    </row>
    <row r="24" spans="1:44" x14ac:dyDescent="0.25">
      <c r="A24" s="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P24" s="15"/>
    </row>
    <row r="25" spans="1:44" x14ac:dyDescent="0.25">
      <c r="A25" s="3" t="s">
        <v>30</v>
      </c>
      <c r="B25" s="4"/>
      <c r="C25" s="4"/>
      <c r="D25" s="5">
        <f t="shared" si="0"/>
        <v>0</v>
      </c>
      <c r="E25" s="4"/>
      <c r="F25" s="4"/>
      <c r="G25" s="5">
        <f t="shared" si="1"/>
        <v>0</v>
      </c>
      <c r="H25" s="4"/>
      <c r="I25" s="4"/>
      <c r="J25" s="5">
        <f t="shared" si="2"/>
        <v>0</v>
      </c>
      <c r="K25" s="5">
        <f>210</f>
        <v>210</v>
      </c>
      <c r="L25" s="4"/>
      <c r="M25" s="5">
        <f t="shared" si="3"/>
        <v>210</v>
      </c>
      <c r="N25" s="5">
        <f>45</f>
        <v>45</v>
      </c>
      <c r="O25" s="4"/>
      <c r="P25" s="5">
        <f t="shared" si="4"/>
        <v>45</v>
      </c>
      <c r="Q25" s="4"/>
      <c r="R25" s="4"/>
      <c r="S25" s="5"/>
      <c r="T25" s="4"/>
      <c r="U25" s="4"/>
      <c r="V25" s="5"/>
      <c r="W25" s="4"/>
      <c r="X25" s="4"/>
      <c r="Y25" s="5"/>
      <c r="Z25" s="4"/>
      <c r="AA25" s="4"/>
      <c r="AB25" s="5"/>
      <c r="AC25" s="4"/>
      <c r="AD25" s="4"/>
      <c r="AE25" s="5"/>
      <c r="AF25" s="4"/>
      <c r="AG25" s="4"/>
      <c r="AH25" s="5"/>
      <c r="AI25" s="4"/>
      <c r="AJ25" s="4"/>
      <c r="AK25" s="5"/>
      <c r="AL25" s="5">
        <f t="shared" si="5"/>
        <v>255</v>
      </c>
      <c r="AM25" s="5">
        <f t="shared" si="6"/>
        <v>0</v>
      </c>
      <c r="AN25" s="5">
        <f t="shared" si="7"/>
        <v>255</v>
      </c>
      <c r="AP25" s="5">
        <v>0</v>
      </c>
    </row>
    <row r="26" spans="1:44" x14ac:dyDescent="0.25">
      <c r="A26" s="3"/>
      <c r="B26" s="4"/>
      <c r="C26" s="4"/>
      <c r="D26" s="5"/>
      <c r="E26" s="4"/>
      <c r="F26" s="4"/>
      <c r="G26" s="5"/>
      <c r="H26" s="4"/>
      <c r="I26" s="4"/>
      <c r="J26" s="5"/>
      <c r="K26" s="5"/>
      <c r="L26" s="4"/>
      <c r="M26" s="5"/>
      <c r="N26" s="5"/>
      <c r="O26" s="4"/>
      <c r="P26" s="5"/>
      <c r="Q26" s="4"/>
      <c r="R26" s="4"/>
      <c r="S26" s="5"/>
      <c r="T26" s="4"/>
      <c r="U26" s="4"/>
      <c r="V26" s="5"/>
      <c r="W26" s="4"/>
      <c r="X26" s="4"/>
      <c r="Y26" s="5"/>
      <c r="Z26" s="4"/>
      <c r="AA26" s="4"/>
      <c r="AB26" s="5"/>
      <c r="AC26" s="4"/>
      <c r="AD26" s="4"/>
      <c r="AE26" s="5"/>
      <c r="AF26" s="4"/>
      <c r="AG26" s="4"/>
      <c r="AH26" s="5"/>
      <c r="AI26" s="4"/>
      <c r="AJ26" s="4"/>
      <c r="AK26" s="5"/>
      <c r="AL26" s="5"/>
      <c r="AM26" s="5"/>
      <c r="AN26" s="5"/>
      <c r="AP26" s="5"/>
    </row>
    <row r="27" spans="1:44" x14ac:dyDescent="0.25">
      <c r="A27" s="3" t="s">
        <v>31</v>
      </c>
      <c r="B27" s="4"/>
      <c r="C27" s="4"/>
      <c r="D27" s="5">
        <f t="shared" si="0"/>
        <v>0</v>
      </c>
      <c r="E27" s="4"/>
      <c r="F27" s="4"/>
      <c r="G27" s="5">
        <f t="shared" si="1"/>
        <v>0</v>
      </c>
      <c r="H27" s="4"/>
      <c r="I27" s="4"/>
      <c r="J27" s="5">
        <f t="shared" si="2"/>
        <v>0</v>
      </c>
      <c r="K27" s="4"/>
      <c r="L27" s="4"/>
      <c r="M27" s="5">
        <f t="shared" si="3"/>
        <v>0</v>
      </c>
      <c r="N27" s="4"/>
      <c r="O27" s="4"/>
      <c r="P27" s="5">
        <f t="shared" si="4"/>
        <v>0</v>
      </c>
      <c r="Q27" s="4"/>
      <c r="R27" s="4"/>
      <c r="S27" s="5"/>
      <c r="T27" s="4"/>
      <c r="U27" s="4"/>
      <c r="V27" s="5"/>
      <c r="W27" s="4"/>
      <c r="X27" s="4"/>
      <c r="Y27" s="5"/>
      <c r="Z27" s="4"/>
      <c r="AA27" s="4"/>
      <c r="AB27" s="5"/>
      <c r="AC27" s="4"/>
      <c r="AD27" s="4"/>
      <c r="AE27" s="5"/>
      <c r="AF27" s="4"/>
      <c r="AG27" s="4"/>
      <c r="AH27" s="5"/>
      <c r="AI27" s="4"/>
      <c r="AJ27" s="4"/>
      <c r="AK27" s="5"/>
      <c r="AL27" s="5">
        <f t="shared" si="5"/>
        <v>0</v>
      </c>
      <c r="AM27" s="5">
        <f t="shared" si="6"/>
        <v>0</v>
      </c>
      <c r="AN27" s="5">
        <f t="shared" si="7"/>
        <v>0</v>
      </c>
      <c r="AP27" s="5">
        <v>0</v>
      </c>
    </row>
    <row r="28" spans="1:44" ht="23.25" x14ac:dyDescent="0.25">
      <c r="A28" s="3" t="s">
        <v>32</v>
      </c>
      <c r="B28" s="5">
        <f>125</f>
        <v>125</v>
      </c>
      <c r="C28" s="5">
        <f>0</f>
        <v>0</v>
      </c>
      <c r="D28" s="5">
        <f t="shared" si="0"/>
        <v>125</v>
      </c>
      <c r="E28" s="5">
        <f>5750</f>
        <v>5750</v>
      </c>
      <c r="F28" s="5">
        <f>4000</f>
        <v>4000</v>
      </c>
      <c r="G28" s="5">
        <f t="shared" si="1"/>
        <v>1750</v>
      </c>
      <c r="H28" s="5">
        <f>9750</f>
        <v>9750</v>
      </c>
      <c r="I28" s="5">
        <f>8000</f>
        <v>8000</v>
      </c>
      <c r="J28" s="5">
        <f t="shared" si="2"/>
        <v>1750</v>
      </c>
      <c r="K28" s="5">
        <f>13230</f>
        <v>13230</v>
      </c>
      <c r="L28" s="5">
        <f>18000</f>
        <v>18000</v>
      </c>
      <c r="M28" s="5">
        <f t="shared" si="3"/>
        <v>-4770</v>
      </c>
      <c r="N28" s="5">
        <f>48830</f>
        <v>48830</v>
      </c>
      <c r="O28" s="5">
        <f>60000</f>
        <v>60000</v>
      </c>
      <c r="P28" s="5">
        <f t="shared" si="4"/>
        <v>-11170</v>
      </c>
      <c r="Q28" s="4"/>
      <c r="R28" s="5"/>
      <c r="S28" s="5"/>
      <c r="T28" s="4"/>
      <c r="U28" s="5"/>
      <c r="V28" s="5"/>
      <c r="W28" s="4"/>
      <c r="X28" s="5"/>
      <c r="Y28" s="5"/>
      <c r="Z28" s="4"/>
      <c r="AA28" s="5"/>
      <c r="AB28" s="5"/>
      <c r="AC28" s="4"/>
      <c r="AD28" s="5"/>
      <c r="AE28" s="5"/>
      <c r="AF28" s="4"/>
      <c r="AG28" s="5"/>
      <c r="AH28" s="5"/>
      <c r="AI28" s="4"/>
      <c r="AJ28" s="5"/>
      <c r="AK28" s="5"/>
      <c r="AL28" s="5">
        <f t="shared" si="5"/>
        <v>77685</v>
      </c>
      <c r="AM28" s="5">
        <f t="shared" si="6"/>
        <v>90000</v>
      </c>
      <c r="AN28" s="5">
        <f t="shared" si="7"/>
        <v>-12315</v>
      </c>
      <c r="AP28" s="5">
        <v>90000</v>
      </c>
      <c r="AR28" s="10" t="s">
        <v>144</v>
      </c>
    </row>
    <row r="29" spans="1:44" x14ac:dyDescent="0.25">
      <c r="A29" s="3" t="s">
        <v>33</v>
      </c>
      <c r="B29" s="4"/>
      <c r="C29" s="5">
        <f>0</f>
        <v>0</v>
      </c>
      <c r="D29" s="5">
        <f t="shared" si="0"/>
        <v>0</v>
      </c>
      <c r="E29" s="4"/>
      <c r="F29" s="5">
        <f>0</f>
        <v>0</v>
      </c>
      <c r="G29" s="5">
        <f t="shared" si="1"/>
        <v>0</v>
      </c>
      <c r="H29" s="4"/>
      <c r="I29" s="5">
        <f>0</f>
        <v>0</v>
      </c>
      <c r="J29" s="5">
        <f t="shared" si="2"/>
        <v>0</v>
      </c>
      <c r="K29" s="4"/>
      <c r="L29" s="5">
        <f>0</f>
        <v>0</v>
      </c>
      <c r="M29" s="5">
        <f t="shared" si="3"/>
        <v>0</v>
      </c>
      <c r="N29" s="4"/>
      <c r="O29" s="5">
        <f>0</f>
        <v>0</v>
      </c>
      <c r="P29" s="5">
        <f t="shared" si="4"/>
        <v>0</v>
      </c>
      <c r="Q29" s="4"/>
      <c r="R29" s="5"/>
      <c r="S29" s="5"/>
      <c r="T29" s="4"/>
      <c r="U29" s="5"/>
      <c r="V29" s="5"/>
      <c r="W29" s="4"/>
      <c r="X29" s="5"/>
      <c r="Y29" s="5"/>
      <c r="Z29" s="4"/>
      <c r="AA29" s="5"/>
      <c r="AB29" s="5"/>
      <c r="AC29" s="4"/>
      <c r="AD29" s="5"/>
      <c r="AE29" s="5"/>
      <c r="AF29" s="4"/>
      <c r="AG29" s="5"/>
      <c r="AH29" s="5"/>
      <c r="AI29" s="4"/>
      <c r="AJ29" s="5"/>
      <c r="AK29" s="5"/>
      <c r="AL29" s="5">
        <f t="shared" si="5"/>
        <v>0</v>
      </c>
      <c r="AM29" s="5">
        <f t="shared" si="6"/>
        <v>0</v>
      </c>
      <c r="AN29" s="5">
        <f t="shared" si="7"/>
        <v>0</v>
      </c>
      <c r="AP29" s="5">
        <v>1500</v>
      </c>
    </row>
    <row r="30" spans="1:44" x14ac:dyDescent="0.25">
      <c r="A30" s="3" t="s">
        <v>34</v>
      </c>
      <c r="B30" s="6">
        <f>((B27)+(B28))+(B29)</f>
        <v>125</v>
      </c>
      <c r="C30" s="6">
        <f>((C27)+(C28))+(C29)</f>
        <v>0</v>
      </c>
      <c r="D30" s="6">
        <f t="shared" si="0"/>
        <v>125</v>
      </c>
      <c r="E30" s="6">
        <f>((E27)+(E28))+(E29)</f>
        <v>5750</v>
      </c>
      <c r="F30" s="6">
        <f>((F27)+(F28))+(F29)</f>
        <v>4000</v>
      </c>
      <c r="G30" s="6">
        <f t="shared" si="1"/>
        <v>1750</v>
      </c>
      <c r="H30" s="6">
        <f>((H27)+(H28))+(H29)</f>
        <v>9750</v>
      </c>
      <c r="I30" s="6">
        <f>((I27)+(I28))+(I29)</f>
        <v>8000</v>
      </c>
      <c r="J30" s="6">
        <f t="shared" si="2"/>
        <v>1750</v>
      </c>
      <c r="K30" s="6">
        <f>((K27)+(K28))+(K29)</f>
        <v>13230</v>
      </c>
      <c r="L30" s="6">
        <f>((L27)+(L28))+(L29)</f>
        <v>18000</v>
      </c>
      <c r="M30" s="6">
        <f t="shared" si="3"/>
        <v>-4770</v>
      </c>
      <c r="N30" s="6">
        <f>((N27)+(N28))+(N29)</f>
        <v>48830</v>
      </c>
      <c r="O30" s="6">
        <f>((O27)+(O28))+(O29)</f>
        <v>60000</v>
      </c>
      <c r="P30" s="6">
        <f t="shared" si="4"/>
        <v>-11170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>
        <f t="shared" si="5"/>
        <v>77685</v>
      </c>
      <c r="AM30" s="6">
        <f t="shared" si="6"/>
        <v>90000</v>
      </c>
      <c r="AN30" s="6">
        <f t="shared" si="7"/>
        <v>-12315</v>
      </c>
      <c r="AP30" s="6">
        <v>91500</v>
      </c>
    </row>
    <row r="31" spans="1:44" x14ac:dyDescent="0.25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P31" s="15"/>
    </row>
    <row r="32" spans="1:44" x14ac:dyDescent="0.25">
      <c r="A32" s="3" t="s">
        <v>35</v>
      </c>
      <c r="B32" s="4"/>
      <c r="C32" s="5">
        <f>0</f>
        <v>0</v>
      </c>
      <c r="D32" s="5">
        <f t="shared" si="0"/>
        <v>0</v>
      </c>
      <c r="E32" s="4"/>
      <c r="F32" s="5">
        <f>0</f>
        <v>0</v>
      </c>
      <c r="G32" s="5">
        <f t="shared" si="1"/>
        <v>0</v>
      </c>
      <c r="H32" s="4"/>
      <c r="I32" s="5">
        <f>0</f>
        <v>0</v>
      </c>
      <c r="J32" s="5">
        <f t="shared" si="2"/>
        <v>0</v>
      </c>
      <c r="K32" s="4"/>
      <c r="L32" s="5">
        <f>0</f>
        <v>0</v>
      </c>
      <c r="M32" s="5">
        <f t="shared" si="3"/>
        <v>0</v>
      </c>
      <c r="N32" s="4"/>
      <c r="O32" s="5">
        <f>0</f>
        <v>0</v>
      </c>
      <c r="P32" s="5">
        <f t="shared" si="4"/>
        <v>0</v>
      </c>
      <c r="Q32" s="4"/>
      <c r="R32" s="5"/>
      <c r="S32" s="5"/>
      <c r="T32" s="4"/>
      <c r="U32" s="5"/>
      <c r="V32" s="5"/>
      <c r="W32" s="4"/>
      <c r="X32" s="5"/>
      <c r="Y32" s="5"/>
      <c r="Z32" s="4"/>
      <c r="AA32" s="5"/>
      <c r="AB32" s="5"/>
      <c r="AC32" s="4"/>
      <c r="AD32" s="5"/>
      <c r="AE32" s="5"/>
      <c r="AF32" s="4"/>
      <c r="AG32" s="5"/>
      <c r="AH32" s="5"/>
      <c r="AI32" s="4"/>
      <c r="AJ32" s="5"/>
      <c r="AK32" s="5"/>
      <c r="AL32" s="5">
        <f t="shared" si="5"/>
        <v>0</v>
      </c>
      <c r="AM32" s="5">
        <f t="shared" si="6"/>
        <v>0</v>
      </c>
      <c r="AN32" s="5">
        <f t="shared" si="7"/>
        <v>0</v>
      </c>
      <c r="AP32" s="5">
        <v>100000</v>
      </c>
    </row>
    <row r="33" spans="1:42" x14ac:dyDescent="0.25">
      <c r="A33" s="3" t="s">
        <v>36</v>
      </c>
      <c r="B33" s="5">
        <f>999</f>
        <v>999</v>
      </c>
      <c r="C33" s="4"/>
      <c r="D33" s="5">
        <f t="shared" si="0"/>
        <v>999</v>
      </c>
      <c r="E33" s="4"/>
      <c r="F33" s="4"/>
      <c r="G33" s="5">
        <f t="shared" si="1"/>
        <v>0</v>
      </c>
      <c r="H33" s="4"/>
      <c r="I33" s="4"/>
      <c r="J33" s="5">
        <f t="shared" si="2"/>
        <v>0</v>
      </c>
      <c r="K33" s="4"/>
      <c r="L33" s="4"/>
      <c r="M33" s="5">
        <f t="shared" si="3"/>
        <v>0</v>
      </c>
      <c r="N33" s="4"/>
      <c r="O33" s="4"/>
      <c r="P33" s="5">
        <f t="shared" si="4"/>
        <v>0</v>
      </c>
      <c r="Q33" s="4"/>
      <c r="R33" s="4"/>
      <c r="S33" s="5"/>
      <c r="T33" s="4"/>
      <c r="U33" s="4"/>
      <c r="V33" s="5"/>
      <c r="W33" s="4"/>
      <c r="X33" s="4"/>
      <c r="Y33" s="5"/>
      <c r="Z33" s="4"/>
      <c r="AA33" s="4"/>
      <c r="AB33" s="5"/>
      <c r="AC33" s="4"/>
      <c r="AD33" s="4"/>
      <c r="AE33" s="5"/>
      <c r="AF33" s="4"/>
      <c r="AG33" s="4"/>
      <c r="AH33" s="5"/>
      <c r="AI33" s="4"/>
      <c r="AJ33" s="4"/>
      <c r="AK33" s="5"/>
      <c r="AL33" s="5">
        <f t="shared" si="5"/>
        <v>999</v>
      </c>
      <c r="AM33" s="5">
        <f t="shared" si="6"/>
        <v>0</v>
      </c>
      <c r="AN33" s="5">
        <f t="shared" si="7"/>
        <v>999</v>
      </c>
      <c r="AP33" s="5">
        <v>0</v>
      </c>
    </row>
    <row r="34" spans="1:42" x14ac:dyDescent="0.25">
      <c r="A34" s="3"/>
      <c r="B34" s="5"/>
      <c r="C34" s="4"/>
      <c r="D34" s="5"/>
      <c r="E34" s="4"/>
      <c r="F34" s="4"/>
      <c r="G34" s="5"/>
      <c r="H34" s="4"/>
      <c r="I34" s="4"/>
      <c r="J34" s="5"/>
      <c r="K34" s="4"/>
      <c r="L34" s="4"/>
      <c r="M34" s="5"/>
      <c r="N34" s="4"/>
      <c r="O34" s="4"/>
      <c r="P34" s="5"/>
      <c r="Q34" s="4"/>
      <c r="R34" s="4"/>
      <c r="S34" s="5"/>
      <c r="T34" s="4"/>
      <c r="U34" s="4"/>
      <c r="V34" s="5"/>
      <c r="W34" s="4"/>
      <c r="X34" s="4"/>
      <c r="Y34" s="5"/>
      <c r="Z34" s="4"/>
      <c r="AA34" s="4"/>
      <c r="AB34" s="5"/>
      <c r="AC34" s="4"/>
      <c r="AD34" s="4"/>
      <c r="AE34" s="5"/>
      <c r="AF34" s="4"/>
      <c r="AG34" s="4"/>
      <c r="AH34" s="5"/>
      <c r="AI34" s="4"/>
      <c r="AJ34" s="4"/>
      <c r="AK34" s="5"/>
      <c r="AL34" s="5"/>
      <c r="AM34" s="5"/>
      <c r="AN34" s="5"/>
      <c r="AP34" s="5"/>
    </row>
    <row r="35" spans="1:42" x14ac:dyDescent="0.25">
      <c r="A35" s="3" t="s">
        <v>37</v>
      </c>
      <c r="B35" s="4"/>
      <c r="C35" s="4"/>
      <c r="D35" s="5">
        <f t="shared" si="0"/>
        <v>0</v>
      </c>
      <c r="E35" s="4"/>
      <c r="F35" s="4"/>
      <c r="G35" s="5">
        <f t="shared" si="1"/>
        <v>0</v>
      </c>
      <c r="H35" s="4"/>
      <c r="I35" s="4"/>
      <c r="J35" s="5">
        <f t="shared" si="2"/>
        <v>0</v>
      </c>
      <c r="K35" s="4"/>
      <c r="L35" s="4"/>
      <c r="M35" s="5">
        <f t="shared" si="3"/>
        <v>0</v>
      </c>
      <c r="N35" s="4"/>
      <c r="O35" s="4"/>
      <c r="P35" s="5">
        <f t="shared" si="4"/>
        <v>0</v>
      </c>
      <c r="Q35" s="4"/>
      <c r="R35" s="4"/>
      <c r="S35" s="5"/>
      <c r="T35" s="4"/>
      <c r="U35" s="4"/>
      <c r="V35" s="5"/>
      <c r="W35" s="4"/>
      <c r="X35" s="4"/>
      <c r="Y35" s="5"/>
      <c r="Z35" s="4"/>
      <c r="AA35" s="4"/>
      <c r="AB35" s="5"/>
      <c r="AC35" s="4"/>
      <c r="AD35" s="4"/>
      <c r="AE35" s="5"/>
      <c r="AF35" s="4"/>
      <c r="AG35" s="4"/>
      <c r="AH35" s="5"/>
      <c r="AI35" s="4"/>
      <c r="AJ35" s="4"/>
      <c r="AK35" s="5"/>
      <c r="AL35" s="5">
        <f t="shared" si="5"/>
        <v>0</v>
      </c>
      <c r="AM35" s="5">
        <f t="shared" si="6"/>
        <v>0</v>
      </c>
      <c r="AN35" s="5">
        <f t="shared" si="7"/>
        <v>0</v>
      </c>
      <c r="AP35" s="5">
        <v>0</v>
      </c>
    </row>
    <row r="36" spans="1:42" x14ac:dyDescent="0.25">
      <c r="A36" s="3" t="s">
        <v>38</v>
      </c>
      <c r="B36" s="5">
        <f>11487</f>
        <v>11487</v>
      </c>
      <c r="C36" s="5">
        <f>11374</f>
        <v>11374</v>
      </c>
      <c r="D36" s="5">
        <f t="shared" si="0"/>
        <v>113</v>
      </c>
      <c r="E36" s="5">
        <f>11487</f>
        <v>11487</v>
      </c>
      <c r="F36" s="5">
        <f>11374</f>
        <v>11374</v>
      </c>
      <c r="G36" s="5">
        <f t="shared" si="1"/>
        <v>113</v>
      </c>
      <c r="H36" s="5">
        <f>11487</f>
        <v>11487</v>
      </c>
      <c r="I36" s="5">
        <f>11374</f>
        <v>11374</v>
      </c>
      <c r="J36" s="5">
        <f t="shared" si="2"/>
        <v>113</v>
      </c>
      <c r="K36" s="5">
        <f>11487</f>
        <v>11487</v>
      </c>
      <c r="L36" s="5">
        <f>11374</f>
        <v>11374</v>
      </c>
      <c r="M36" s="5">
        <f t="shared" si="3"/>
        <v>113</v>
      </c>
      <c r="N36" s="5">
        <f>11487</f>
        <v>11487</v>
      </c>
      <c r="O36" s="5">
        <f>11374</f>
        <v>11374</v>
      </c>
      <c r="P36" s="5">
        <f t="shared" si="4"/>
        <v>113</v>
      </c>
      <c r="Q36" s="5"/>
      <c r="R36" s="5"/>
      <c r="S36" s="5"/>
      <c r="T36" s="4"/>
      <c r="U36" s="5"/>
      <c r="V36" s="5"/>
      <c r="W36" s="4"/>
      <c r="X36" s="5"/>
      <c r="Y36" s="5"/>
      <c r="Z36" s="4"/>
      <c r="AA36" s="5"/>
      <c r="AB36" s="5"/>
      <c r="AC36" s="4"/>
      <c r="AD36" s="5"/>
      <c r="AE36" s="5"/>
      <c r="AF36" s="4"/>
      <c r="AG36" s="5"/>
      <c r="AH36" s="5"/>
      <c r="AI36" s="4"/>
      <c r="AJ36" s="5"/>
      <c r="AK36" s="5"/>
      <c r="AL36" s="5">
        <f t="shared" si="5"/>
        <v>57435</v>
      </c>
      <c r="AM36" s="5">
        <f t="shared" si="6"/>
        <v>56870</v>
      </c>
      <c r="AN36" s="5">
        <f t="shared" si="7"/>
        <v>565</v>
      </c>
      <c r="AP36" s="5">
        <v>136488</v>
      </c>
    </row>
    <row r="37" spans="1:42" x14ac:dyDescent="0.25">
      <c r="A37" s="3" t="s">
        <v>39</v>
      </c>
      <c r="B37" s="4"/>
      <c r="C37" s="5">
        <f>240</f>
        <v>240</v>
      </c>
      <c r="D37" s="5">
        <f t="shared" si="0"/>
        <v>-240</v>
      </c>
      <c r="E37" s="5">
        <f>232.22</f>
        <v>232.22</v>
      </c>
      <c r="F37" s="5">
        <f>0</f>
        <v>0</v>
      </c>
      <c r="G37" s="5">
        <f t="shared" si="1"/>
        <v>232.22</v>
      </c>
      <c r="H37" s="4"/>
      <c r="I37" s="5">
        <f>0</f>
        <v>0</v>
      </c>
      <c r="J37" s="5">
        <f t="shared" si="2"/>
        <v>0</v>
      </c>
      <c r="K37" s="4"/>
      <c r="L37" s="5">
        <f>240</f>
        <v>240</v>
      </c>
      <c r="M37" s="5">
        <f t="shared" si="3"/>
        <v>-240</v>
      </c>
      <c r="N37" s="5">
        <f>232</f>
        <v>232</v>
      </c>
      <c r="O37" s="5">
        <f>0</f>
        <v>0</v>
      </c>
      <c r="P37" s="5">
        <f t="shared" si="4"/>
        <v>232</v>
      </c>
      <c r="Q37" s="4"/>
      <c r="R37" s="5"/>
      <c r="S37" s="5"/>
      <c r="T37" s="4"/>
      <c r="U37" s="5"/>
      <c r="V37" s="5"/>
      <c r="W37" s="4"/>
      <c r="X37" s="5"/>
      <c r="Y37" s="5"/>
      <c r="Z37" s="4"/>
      <c r="AA37" s="5"/>
      <c r="AB37" s="5"/>
      <c r="AC37" s="4"/>
      <c r="AD37" s="5"/>
      <c r="AE37" s="5"/>
      <c r="AF37" s="4"/>
      <c r="AG37" s="5"/>
      <c r="AH37" s="5"/>
      <c r="AI37" s="4"/>
      <c r="AJ37" s="5"/>
      <c r="AK37" s="5"/>
      <c r="AL37" s="5">
        <f t="shared" si="5"/>
        <v>464.22</v>
      </c>
      <c r="AM37" s="5">
        <f t="shared" si="6"/>
        <v>480</v>
      </c>
      <c r="AN37" s="5">
        <f t="shared" si="7"/>
        <v>-15.779999999999973</v>
      </c>
      <c r="AP37" s="5">
        <v>960</v>
      </c>
    </row>
    <row r="38" spans="1:42" x14ac:dyDescent="0.25">
      <c r="A38" s="3" t="s">
        <v>40</v>
      </c>
      <c r="B38" s="5">
        <f>2.11</f>
        <v>2.11</v>
      </c>
      <c r="C38" s="5">
        <f>2</f>
        <v>2</v>
      </c>
      <c r="D38" s="5">
        <f t="shared" si="0"/>
        <v>0.10999999999999988</v>
      </c>
      <c r="E38" s="5">
        <f>1.91</f>
        <v>1.91</v>
      </c>
      <c r="F38" s="5">
        <f>2</f>
        <v>2</v>
      </c>
      <c r="G38" s="5">
        <f t="shared" si="1"/>
        <v>-9.000000000000008E-2</v>
      </c>
      <c r="H38" s="5">
        <f>1.98</f>
        <v>1.98</v>
      </c>
      <c r="I38" s="5">
        <f>2</f>
        <v>2</v>
      </c>
      <c r="J38" s="5">
        <f t="shared" si="2"/>
        <v>-2.0000000000000018E-2</v>
      </c>
      <c r="K38" s="5">
        <f>2.18</f>
        <v>2.1800000000000002</v>
      </c>
      <c r="L38" s="5">
        <f>2</f>
        <v>2</v>
      </c>
      <c r="M38" s="5">
        <f t="shared" si="3"/>
        <v>0.18000000000000016</v>
      </c>
      <c r="N38" s="5">
        <f>2.11</f>
        <v>2.11</v>
      </c>
      <c r="O38" s="5">
        <f>2</f>
        <v>2</v>
      </c>
      <c r="P38" s="5">
        <f t="shared" si="4"/>
        <v>0.10999999999999988</v>
      </c>
      <c r="Q38" s="4"/>
      <c r="R38" s="5"/>
      <c r="S38" s="5"/>
      <c r="T38" s="4"/>
      <c r="U38" s="5"/>
      <c r="V38" s="5"/>
      <c r="W38" s="4"/>
      <c r="X38" s="5"/>
      <c r="Y38" s="5"/>
      <c r="Z38" s="4"/>
      <c r="AA38" s="5"/>
      <c r="AB38" s="5"/>
      <c r="AC38" s="4"/>
      <c r="AD38" s="5"/>
      <c r="AE38" s="5"/>
      <c r="AF38" s="4"/>
      <c r="AG38" s="5"/>
      <c r="AH38" s="5"/>
      <c r="AI38" s="4"/>
      <c r="AJ38" s="5"/>
      <c r="AK38" s="5"/>
      <c r="AL38" s="5">
        <f t="shared" si="5"/>
        <v>10.29</v>
      </c>
      <c r="AM38" s="5">
        <f t="shared" si="6"/>
        <v>10</v>
      </c>
      <c r="AN38" s="5">
        <f t="shared" si="7"/>
        <v>0.28999999999999915</v>
      </c>
      <c r="AP38" s="5">
        <v>24</v>
      </c>
    </row>
    <row r="39" spans="1:42" x14ac:dyDescent="0.25">
      <c r="A39" s="3" t="s">
        <v>41</v>
      </c>
      <c r="B39" s="6">
        <f>(((B35)+(B36))+(B37))+(B38)</f>
        <v>11489.11</v>
      </c>
      <c r="C39" s="6">
        <f>(((C35)+(C36))+(C37))+(C38)</f>
        <v>11616</v>
      </c>
      <c r="D39" s="6">
        <f t="shared" si="0"/>
        <v>-126.88999999999942</v>
      </c>
      <c r="E39" s="6">
        <f>(((E35)+(E36))+(E37))+(E38)</f>
        <v>11721.13</v>
      </c>
      <c r="F39" s="6">
        <f>(((F35)+(F36))+(F37))+(F38)</f>
        <v>11376</v>
      </c>
      <c r="G39" s="6">
        <f t="shared" si="1"/>
        <v>345.1299999999992</v>
      </c>
      <c r="H39" s="6">
        <f>(((H35)+(H36))+(H37))+(H38)</f>
        <v>11488.98</v>
      </c>
      <c r="I39" s="6">
        <f>(((I35)+(I36))+(I37))+(I38)</f>
        <v>11376</v>
      </c>
      <c r="J39" s="6">
        <f t="shared" si="2"/>
        <v>112.97999999999956</v>
      </c>
      <c r="K39" s="6">
        <f>(((K35)+(K36))+(K37))+(K38)</f>
        <v>11489.18</v>
      </c>
      <c r="L39" s="6">
        <f>(((L35)+(L36))+(L37))+(L38)</f>
        <v>11616</v>
      </c>
      <c r="M39" s="6">
        <f t="shared" si="3"/>
        <v>-126.81999999999971</v>
      </c>
      <c r="N39" s="6">
        <f>(((N35)+(N36))+(N37))+(N38)</f>
        <v>11721.11</v>
      </c>
      <c r="O39" s="6">
        <f>(((O35)+(O36))+(O37))+(O38)</f>
        <v>11376</v>
      </c>
      <c r="P39" s="6">
        <f t="shared" si="4"/>
        <v>345.11000000000058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f t="shared" si="5"/>
        <v>57909.51</v>
      </c>
      <c r="AM39" s="6">
        <f t="shared" si="6"/>
        <v>57360</v>
      </c>
      <c r="AN39" s="6">
        <f t="shared" si="7"/>
        <v>549.51000000000204</v>
      </c>
      <c r="AP39" s="6">
        <v>137472</v>
      </c>
    </row>
    <row r="40" spans="1:42" x14ac:dyDescent="0.25">
      <c r="A40" s="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P40" s="15"/>
    </row>
    <row r="41" spans="1:42" x14ac:dyDescent="0.25">
      <c r="A41" s="3" t="s">
        <v>42</v>
      </c>
      <c r="B41" s="5">
        <f>7890</f>
        <v>7890</v>
      </c>
      <c r="C41" s="5">
        <f>7890</f>
        <v>7890</v>
      </c>
      <c r="D41" s="5">
        <f t="shared" si="0"/>
        <v>0</v>
      </c>
      <c r="E41" s="5">
        <f>7890</f>
        <v>7890</v>
      </c>
      <c r="F41" s="5">
        <f>7890</f>
        <v>7890</v>
      </c>
      <c r="G41" s="5">
        <f t="shared" si="1"/>
        <v>0</v>
      </c>
      <c r="H41" s="5">
        <f>7890</f>
        <v>7890</v>
      </c>
      <c r="I41" s="5">
        <f>7890</f>
        <v>7890</v>
      </c>
      <c r="J41" s="5">
        <f t="shared" si="2"/>
        <v>0</v>
      </c>
      <c r="K41" s="5">
        <f>7890</f>
        <v>7890</v>
      </c>
      <c r="L41" s="5">
        <f>7890</f>
        <v>7890</v>
      </c>
      <c r="M41" s="5">
        <f t="shared" si="3"/>
        <v>0</v>
      </c>
      <c r="N41" s="5">
        <f>7890</f>
        <v>7890</v>
      </c>
      <c r="O41" s="5">
        <f>7890</f>
        <v>7890</v>
      </c>
      <c r="P41" s="5">
        <f t="shared" si="4"/>
        <v>0</v>
      </c>
      <c r="Q41" s="4"/>
      <c r="R41" s="5"/>
      <c r="S41" s="5"/>
      <c r="T41" s="4"/>
      <c r="U41" s="5"/>
      <c r="V41" s="5"/>
      <c r="W41" s="4"/>
      <c r="X41" s="5"/>
      <c r="Y41" s="5"/>
      <c r="Z41" s="4"/>
      <c r="AA41" s="5"/>
      <c r="AB41" s="5"/>
      <c r="AC41" s="4"/>
      <c r="AD41" s="5"/>
      <c r="AE41" s="5"/>
      <c r="AF41" s="4"/>
      <c r="AG41" s="5"/>
      <c r="AH41" s="5"/>
      <c r="AI41" s="4"/>
      <c r="AJ41" s="5"/>
      <c r="AK41" s="5"/>
      <c r="AL41" s="5">
        <f t="shared" si="5"/>
        <v>39450</v>
      </c>
      <c r="AM41" s="5">
        <f t="shared" si="6"/>
        <v>39450</v>
      </c>
      <c r="AN41" s="5">
        <f t="shared" si="7"/>
        <v>0</v>
      </c>
      <c r="AP41" s="5">
        <v>94680</v>
      </c>
    </row>
    <row r="42" spans="1:42" x14ac:dyDescent="0.2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5"/>
      <c r="S42" s="5"/>
      <c r="T42" s="4"/>
      <c r="U42" s="5"/>
      <c r="V42" s="5"/>
      <c r="W42" s="4"/>
      <c r="X42" s="5"/>
      <c r="Y42" s="5"/>
      <c r="Z42" s="4"/>
      <c r="AA42" s="5"/>
      <c r="AB42" s="5"/>
      <c r="AC42" s="4"/>
      <c r="AD42" s="5"/>
      <c r="AE42" s="5"/>
      <c r="AF42" s="4"/>
      <c r="AG42" s="5"/>
      <c r="AH42" s="5"/>
      <c r="AI42" s="4"/>
      <c r="AJ42" s="5"/>
      <c r="AK42" s="5"/>
      <c r="AL42" s="5"/>
      <c r="AM42" s="5"/>
      <c r="AN42" s="5"/>
      <c r="AP42" s="5"/>
    </row>
    <row r="43" spans="1:42" x14ac:dyDescent="0.25">
      <c r="A43" s="3" t="s">
        <v>43</v>
      </c>
      <c r="B43" s="6">
        <f>(((((((((((B12)+(B14))+(B15))+(B16))+(B17))+(B23))+(B25))+(B30))+(B32))+(B33))+(B39))+(B41)</f>
        <v>54509.11</v>
      </c>
      <c r="C43" s="6">
        <f>(((((((((((C12)+(C14))+(C15))+(C16))+(C17))+(C23))+(C25))+(C30))+(C32))+(C33))+(C39))+(C41)</f>
        <v>41206</v>
      </c>
      <c r="D43" s="6">
        <f t="shared" si="0"/>
        <v>13303.11</v>
      </c>
      <c r="E43" s="6">
        <f>(((((((((((E12)+(E14))+(E15))+(E16))+(E17))+(E23))+(E25))+(E30))+(E32))+(E33))+(E39))+(E41)</f>
        <v>33578.25</v>
      </c>
      <c r="F43" s="6">
        <f>(((((((((((F12)+(F14))+(F15))+(F16))+(F17))+(F23))+(F25))+(F30))+(F32))+(F33))+(F39))+(F41)</f>
        <v>23666</v>
      </c>
      <c r="G43" s="6">
        <f t="shared" si="1"/>
        <v>9912.25</v>
      </c>
      <c r="H43" s="6">
        <f>(((((((((((H12)+(H14))+(H15))+(H16))+(H17))+(H23))+(H25))+(H30))+(H32))+(H33))+(H39))+(H41)</f>
        <v>30258.98</v>
      </c>
      <c r="I43" s="6">
        <f>(((((((((((I12)+(I14))+(I15))+(I16))+(I17))+(I23))+(I25))+(I30))+(I32))+(I33))+(I39))+(I41)</f>
        <v>41341</v>
      </c>
      <c r="J43" s="6">
        <f t="shared" si="2"/>
        <v>-11082.02</v>
      </c>
      <c r="K43" s="6">
        <f>(((((((((((K12)+(K14))+(K15))+(K16))+(K17))+(K23))+(K25))+(K30))+(K32))+(K33))+(K39))+(K41)</f>
        <v>50394.18</v>
      </c>
      <c r="L43" s="6">
        <f>(((((((((((L12)+(L14))+(L15))+(L16))+(L17))+(L23))+(L25))+(L30))+(L32))+(L33))+(L39))+(L41)</f>
        <v>59982</v>
      </c>
      <c r="M43" s="6">
        <f t="shared" si="3"/>
        <v>-9587.82</v>
      </c>
      <c r="N43" s="6">
        <f>(((((((((((N12)+(N14))+(N15))+(N16))+(N17))+(N23))+(N25))+(N30))+(N32))+(N33))+(N39))+(N41)</f>
        <v>69741.48000000001</v>
      </c>
      <c r="O43" s="6">
        <f>(((((((((((O12)+(O14))+(O15))+(O16))+(O17))+(O23))+(O25))+(O30))+(O32))+(O33))+(O39))+(O41)</f>
        <v>80066</v>
      </c>
      <c r="P43" s="6">
        <f t="shared" si="4"/>
        <v>-10324.51999999999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>
        <f t="shared" si="5"/>
        <v>238482</v>
      </c>
      <c r="AM43" s="6">
        <f t="shared" si="6"/>
        <v>246261</v>
      </c>
      <c r="AN43" s="6">
        <f t="shared" si="7"/>
        <v>-7779</v>
      </c>
      <c r="AP43" s="6">
        <v>565353</v>
      </c>
    </row>
    <row r="44" spans="1:42" x14ac:dyDescent="0.25">
      <c r="A44" s="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P44" s="7"/>
    </row>
    <row r="45" spans="1:42" hidden="1" x14ac:dyDescent="0.25">
      <c r="A45" s="3" t="s">
        <v>44</v>
      </c>
      <c r="B45" s="6">
        <f>(B43)-(0)</f>
        <v>54509.11</v>
      </c>
      <c r="C45" s="6">
        <f>(C43)-(0)</f>
        <v>41206</v>
      </c>
      <c r="D45" s="6">
        <f t="shared" si="0"/>
        <v>13303.11</v>
      </c>
      <c r="E45" s="6">
        <f>(E43)-(0)</f>
        <v>33578.25</v>
      </c>
      <c r="F45" s="6">
        <f>(F43)-(0)</f>
        <v>23666</v>
      </c>
      <c r="G45" s="6">
        <f t="shared" si="1"/>
        <v>9912.25</v>
      </c>
      <c r="H45" s="6">
        <f>(H43)-(0)</f>
        <v>30258.98</v>
      </c>
      <c r="I45" s="6">
        <f>(I43)-(0)</f>
        <v>41341</v>
      </c>
      <c r="J45" s="6">
        <f t="shared" si="2"/>
        <v>-11082.02</v>
      </c>
      <c r="K45" s="6">
        <f>(K43)-(0)</f>
        <v>50394.18</v>
      </c>
      <c r="L45" s="6">
        <f>(L43)-(0)</f>
        <v>59982</v>
      </c>
      <c r="M45" s="6">
        <f t="shared" si="3"/>
        <v>-9587.82</v>
      </c>
      <c r="N45" s="6">
        <f>(N43)-(0)</f>
        <v>69741.48000000001</v>
      </c>
      <c r="O45" s="6">
        <f>(O43)-(0)</f>
        <v>80066</v>
      </c>
      <c r="P45" s="6">
        <f t="shared" si="4"/>
        <v>-10324.51999999999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17">
        <f t="shared" si="5"/>
        <v>238482</v>
      </c>
      <c r="AM45" s="17">
        <f t="shared" si="6"/>
        <v>246261</v>
      </c>
      <c r="AN45" s="17">
        <f t="shared" si="7"/>
        <v>-7779</v>
      </c>
      <c r="AP45" s="6">
        <v>565353</v>
      </c>
    </row>
    <row r="46" spans="1:42" hidden="1" x14ac:dyDescent="0.25">
      <c r="A46" s="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P46" s="15"/>
    </row>
    <row r="47" spans="1:42" x14ac:dyDescent="0.25">
      <c r="A47" s="3" t="s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P47" s="4"/>
    </row>
    <row r="48" spans="1:42" x14ac:dyDescent="0.25">
      <c r="A48" s="3" t="s">
        <v>46</v>
      </c>
      <c r="B48" s="4"/>
      <c r="C48" s="4"/>
      <c r="D48" s="5">
        <f t="shared" ref="D48:D84" si="8">(B48)-(C48)</f>
        <v>0</v>
      </c>
      <c r="E48" s="4"/>
      <c r="F48" s="4"/>
      <c r="G48" s="5">
        <f t="shared" ref="G48:G84" si="9">(E48)-(F48)</f>
        <v>0</v>
      </c>
      <c r="H48" s="4"/>
      <c r="I48" s="4"/>
      <c r="J48" s="5">
        <f t="shared" ref="J48:J84" si="10">(H48)-(I48)</f>
        <v>0</v>
      </c>
      <c r="K48" s="4"/>
      <c r="L48" s="4"/>
      <c r="M48" s="5">
        <f t="shared" ref="M48:M84" si="11">(K48)-(L48)</f>
        <v>0</v>
      </c>
      <c r="N48" s="4"/>
      <c r="O48" s="4"/>
      <c r="P48" s="5">
        <f t="shared" ref="P48:P84" si="12">(N48)-(O48)</f>
        <v>0</v>
      </c>
      <c r="Q48" s="4"/>
      <c r="R48" s="4"/>
      <c r="S48" s="5"/>
      <c r="T48" s="4"/>
      <c r="U48" s="4"/>
      <c r="V48" s="5"/>
      <c r="W48" s="4"/>
      <c r="X48" s="4"/>
      <c r="Y48" s="5"/>
      <c r="Z48" s="4"/>
      <c r="AA48" s="4"/>
      <c r="AB48" s="5"/>
      <c r="AC48" s="4"/>
      <c r="AD48" s="4"/>
      <c r="AE48" s="5"/>
      <c r="AF48" s="4"/>
      <c r="AG48" s="4"/>
      <c r="AH48" s="5"/>
      <c r="AI48" s="4"/>
      <c r="AJ48" s="4"/>
      <c r="AK48" s="5"/>
      <c r="AL48" s="5">
        <f t="shared" ref="AL48:AL84" si="13">(((((((((((B48)+(E48))+(H48))+(K48))+(N48))+(Q48))+(T48))+(W48))+(Z48))+(AC48))+(AF48))+(AI48)</f>
        <v>0</v>
      </c>
      <c r="AM48" s="5">
        <f t="shared" ref="AM48:AM84" si="14">(((((((((((C48)+(F48))+(I48))+(L48))+(O48))+(R48))+(U48))+(X48))+(AA48))+(AD48))+(AG48))+(AJ48)</f>
        <v>0</v>
      </c>
      <c r="AN48" s="5">
        <f t="shared" ref="AN48:AN84" si="15">(AL48)-(AM48)</f>
        <v>0</v>
      </c>
      <c r="AP48" s="5">
        <v>0</v>
      </c>
    </row>
    <row r="49" spans="1:44" x14ac:dyDescent="0.25">
      <c r="A49" s="3" t="s">
        <v>47</v>
      </c>
      <c r="B49" s="4"/>
      <c r="C49" s="5">
        <f>0</f>
        <v>0</v>
      </c>
      <c r="D49" s="5">
        <f t="shared" si="8"/>
        <v>0</v>
      </c>
      <c r="E49" s="4"/>
      <c r="F49" s="5">
        <f>350</f>
        <v>350</v>
      </c>
      <c r="G49" s="5">
        <f t="shared" si="9"/>
        <v>-350</v>
      </c>
      <c r="H49" s="5">
        <f>350</f>
        <v>350</v>
      </c>
      <c r="I49" s="5">
        <f>550</f>
        <v>550</v>
      </c>
      <c r="J49" s="5">
        <f t="shared" si="10"/>
        <v>-200</v>
      </c>
      <c r="K49" s="5">
        <f>350</f>
        <v>350</v>
      </c>
      <c r="L49" s="5">
        <f>350</f>
        <v>350</v>
      </c>
      <c r="M49" s="5">
        <f t="shared" si="11"/>
        <v>0</v>
      </c>
      <c r="N49" s="5">
        <f>350</f>
        <v>350</v>
      </c>
      <c r="O49" s="5">
        <f>350</f>
        <v>350</v>
      </c>
      <c r="P49" s="5">
        <f t="shared" si="12"/>
        <v>0</v>
      </c>
      <c r="Q49" s="4"/>
      <c r="R49" s="5"/>
      <c r="S49" s="5"/>
      <c r="T49" s="4"/>
      <c r="U49" s="5"/>
      <c r="V49" s="5"/>
      <c r="W49" s="4"/>
      <c r="X49" s="5"/>
      <c r="Y49" s="5"/>
      <c r="Z49" s="4"/>
      <c r="AA49" s="5"/>
      <c r="AB49" s="5"/>
      <c r="AC49" s="4"/>
      <c r="AD49" s="5"/>
      <c r="AE49" s="5"/>
      <c r="AF49" s="4"/>
      <c r="AG49" s="5"/>
      <c r="AH49" s="5"/>
      <c r="AI49" s="4"/>
      <c r="AJ49" s="5"/>
      <c r="AK49" s="5"/>
      <c r="AL49" s="5">
        <f t="shared" si="13"/>
        <v>1050</v>
      </c>
      <c r="AM49" s="5">
        <f t="shared" si="14"/>
        <v>1600</v>
      </c>
      <c r="AN49" s="5">
        <f t="shared" si="15"/>
        <v>-550</v>
      </c>
      <c r="AP49" s="5">
        <v>3700</v>
      </c>
    </row>
    <row r="50" spans="1:44" x14ac:dyDescent="0.25">
      <c r="A50" s="3" t="s">
        <v>48</v>
      </c>
      <c r="B50" s="4"/>
      <c r="C50" s="5">
        <f>0</f>
        <v>0</v>
      </c>
      <c r="D50" s="5">
        <f t="shared" si="8"/>
        <v>0</v>
      </c>
      <c r="E50" s="4"/>
      <c r="F50" s="5">
        <f>0</f>
        <v>0</v>
      </c>
      <c r="G50" s="5">
        <f t="shared" si="9"/>
        <v>0</v>
      </c>
      <c r="H50" s="4"/>
      <c r="I50" s="5">
        <f>10</f>
        <v>10</v>
      </c>
      <c r="J50" s="5">
        <f t="shared" si="10"/>
        <v>-10</v>
      </c>
      <c r="K50" s="4"/>
      <c r="L50" s="5">
        <f>0</f>
        <v>0</v>
      </c>
      <c r="M50" s="5">
        <f t="shared" si="11"/>
        <v>0</v>
      </c>
      <c r="N50" s="4"/>
      <c r="O50" s="5">
        <f>0</f>
        <v>0</v>
      </c>
      <c r="P50" s="5">
        <f t="shared" si="12"/>
        <v>0</v>
      </c>
      <c r="Q50" s="4"/>
      <c r="R50" s="5"/>
      <c r="S50" s="5"/>
      <c r="T50" s="4"/>
      <c r="U50" s="5"/>
      <c r="V50" s="5"/>
      <c r="W50" s="4"/>
      <c r="X50" s="5"/>
      <c r="Y50" s="5"/>
      <c r="Z50" s="4"/>
      <c r="AA50" s="5"/>
      <c r="AB50" s="5"/>
      <c r="AC50" s="4"/>
      <c r="AD50" s="5"/>
      <c r="AE50" s="5"/>
      <c r="AF50" s="4"/>
      <c r="AG50" s="5"/>
      <c r="AH50" s="5"/>
      <c r="AI50" s="4"/>
      <c r="AJ50" s="5"/>
      <c r="AK50" s="5"/>
      <c r="AL50" s="5">
        <f t="shared" si="13"/>
        <v>0</v>
      </c>
      <c r="AM50" s="5">
        <f t="shared" si="14"/>
        <v>10</v>
      </c>
      <c r="AN50" s="5">
        <f t="shared" si="15"/>
        <v>-10</v>
      </c>
      <c r="AP50" s="5">
        <v>10</v>
      </c>
    </row>
    <row r="51" spans="1:44" x14ac:dyDescent="0.25">
      <c r="A51" s="3" t="s">
        <v>49</v>
      </c>
      <c r="B51" s="4"/>
      <c r="C51" s="5">
        <f>0</f>
        <v>0</v>
      </c>
      <c r="D51" s="5">
        <f t="shared" si="8"/>
        <v>0</v>
      </c>
      <c r="E51" s="5">
        <f>307.7</f>
        <v>307.7</v>
      </c>
      <c r="F51" s="5">
        <f>300</f>
        <v>300</v>
      </c>
      <c r="G51" s="5">
        <f t="shared" si="9"/>
        <v>7.6999999999999886</v>
      </c>
      <c r="H51" s="5">
        <f>342.7</f>
        <v>342.7</v>
      </c>
      <c r="I51" s="5">
        <f>300</f>
        <v>300</v>
      </c>
      <c r="J51" s="5">
        <f t="shared" si="10"/>
        <v>42.699999999999989</v>
      </c>
      <c r="K51" s="4"/>
      <c r="L51" s="5">
        <f>300</f>
        <v>300</v>
      </c>
      <c r="M51" s="5">
        <f t="shared" si="11"/>
        <v>-300</v>
      </c>
      <c r="N51" s="5">
        <f>42.06</f>
        <v>42.06</v>
      </c>
      <c r="O51" s="5">
        <f>50</f>
        <v>50</v>
      </c>
      <c r="P51" s="5">
        <f t="shared" si="12"/>
        <v>-7.9399999999999977</v>
      </c>
      <c r="Q51" s="4"/>
      <c r="R51" s="5"/>
      <c r="S51" s="5"/>
      <c r="T51" s="4"/>
      <c r="U51" s="5"/>
      <c r="V51" s="5"/>
      <c r="W51" s="4"/>
      <c r="X51" s="5"/>
      <c r="Y51" s="5"/>
      <c r="Z51" s="4"/>
      <c r="AA51" s="5"/>
      <c r="AB51" s="5"/>
      <c r="AC51" s="4"/>
      <c r="AD51" s="5"/>
      <c r="AE51" s="5"/>
      <c r="AF51" s="4"/>
      <c r="AG51" s="5"/>
      <c r="AH51" s="5"/>
      <c r="AI51" s="4"/>
      <c r="AJ51" s="5"/>
      <c r="AK51" s="5"/>
      <c r="AL51" s="5">
        <f t="shared" si="13"/>
        <v>692.46</v>
      </c>
      <c r="AM51" s="5">
        <f t="shared" si="14"/>
        <v>950</v>
      </c>
      <c r="AN51" s="5">
        <f t="shared" si="15"/>
        <v>-257.53999999999996</v>
      </c>
      <c r="AP51" s="5">
        <v>2105</v>
      </c>
    </row>
    <row r="52" spans="1:44" x14ac:dyDescent="0.25">
      <c r="A52" s="3" t="s">
        <v>50</v>
      </c>
      <c r="B52" s="4"/>
      <c r="C52" s="5">
        <f>0</f>
        <v>0</v>
      </c>
      <c r="D52" s="5">
        <f t="shared" si="8"/>
        <v>0</v>
      </c>
      <c r="E52" s="4"/>
      <c r="F52" s="5">
        <f>0</f>
        <v>0</v>
      </c>
      <c r="G52" s="5">
        <f t="shared" si="9"/>
        <v>0</v>
      </c>
      <c r="H52" s="5">
        <f>100</f>
        <v>100</v>
      </c>
      <c r="I52" s="5">
        <f>0</f>
        <v>0</v>
      </c>
      <c r="J52" s="5">
        <f t="shared" si="10"/>
        <v>100</v>
      </c>
      <c r="K52" s="4"/>
      <c r="L52" s="5">
        <f>25</f>
        <v>25</v>
      </c>
      <c r="M52" s="5">
        <f t="shared" si="11"/>
        <v>-25</v>
      </c>
      <c r="N52" s="4"/>
      <c r="O52" s="5">
        <f>0</f>
        <v>0</v>
      </c>
      <c r="P52" s="5">
        <f t="shared" si="12"/>
        <v>0</v>
      </c>
      <c r="Q52" s="4"/>
      <c r="R52" s="5"/>
      <c r="S52" s="5"/>
      <c r="T52" s="4"/>
      <c r="U52" s="5"/>
      <c r="V52" s="5"/>
      <c r="W52" s="4"/>
      <c r="X52" s="5"/>
      <c r="Y52" s="5"/>
      <c r="Z52" s="4"/>
      <c r="AA52" s="5"/>
      <c r="AB52" s="5"/>
      <c r="AC52" s="4"/>
      <c r="AD52" s="5"/>
      <c r="AE52" s="5"/>
      <c r="AF52" s="4"/>
      <c r="AG52" s="5"/>
      <c r="AH52" s="5"/>
      <c r="AI52" s="4"/>
      <c r="AJ52" s="5"/>
      <c r="AK52" s="5"/>
      <c r="AL52" s="5">
        <f t="shared" si="13"/>
        <v>100</v>
      </c>
      <c r="AM52" s="5">
        <f t="shared" si="14"/>
        <v>25</v>
      </c>
      <c r="AN52" s="5">
        <f t="shared" si="15"/>
        <v>75</v>
      </c>
      <c r="AP52" s="5">
        <v>270</v>
      </c>
    </row>
    <row r="53" spans="1:44" x14ac:dyDescent="0.25">
      <c r="A53" s="3" t="s">
        <v>51</v>
      </c>
      <c r="B53" s="6">
        <f>((((B48)+(B49))+(B50))+(B51))+(B52)</f>
        <v>0</v>
      </c>
      <c r="C53" s="6">
        <f>((((C48)+(C49))+(C50))+(C51))+(C52)</f>
        <v>0</v>
      </c>
      <c r="D53" s="6">
        <f t="shared" si="8"/>
        <v>0</v>
      </c>
      <c r="E53" s="6">
        <f>((((E48)+(E49))+(E50))+(E51))+(E52)</f>
        <v>307.7</v>
      </c>
      <c r="F53" s="6">
        <f>((((F48)+(F49))+(F50))+(F51))+(F52)</f>
        <v>650</v>
      </c>
      <c r="G53" s="6">
        <f t="shared" si="9"/>
        <v>-342.3</v>
      </c>
      <c r="H53" s="6">
        <f>((((H48)+(H49))+(H50))+(H51))+(H52)</f>
        <v>792.7</v>
      </c>
      <c r="I53" s="6">
        <f>((((I48)+(I49))+(I50))+(I51))+(I52)</f>
        <v>860</v>
      </c>
      <c r="J53" s="6">
        <f t="shared" si="10"/>
        <v>-67.299999999999955</v>
      </c>
      <c r="K53" s="6">
        <f>((((K48)+(K49))+(K50))+(K51))+(K52)</f>
        <v>350</v>
      </c>
      <c r="L53" s="6">
        <f>((((L48)+(L49))+(L50))+(L51))+(L52)</f>
        <v>675</v>
      </c>
      <c r="M53" s="6">
        <f t="shared" si="11"/>
        <v>-325</v>
      </c>
      <c r="N53" s="6">
        <f>((((N48)+(N49))+(N50))+(N51))+(N52)</f>
        <v>392.06</v>
      </c>
      <c r="O53" s="6">
        <f>((((O48)+(O49))+(O50))+(O51))+(O52)</f>
        <v>400</v>
      </c>
      <c r="P53" s="6">
        <f t="shared" si="12"/>
        <v>-7.9399999999999977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>
        <f t="shared" si="13"/>
        <v>1842.46</v>
      </c>
      <c r="AM53" s="6">
        <f t="shared" si="14"/>
        <v>2585</v>
      </c>
      <c r="AN53" s="6">
        <f t="shared" si="15"/>
        <v>-742.54</v>
      </c>
      <c r="AP53" s="6">
        <v>6085</v>
      </c>
    </row>
    <row r="54" spans="1:44" x14ac:dyDescent="0.25">
      <c r="A54" s="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P54" s="15"/>
    </row>
    <row r="55" spans="1:44" x14ac:dyDescent="0.25">
      <c r="A55" s="3" t="s">
        <v>52</v>
      </c>
      <c r="B55" s="4"/>
      <c r="C55" s="4"/>
      <c r="D55" s="5">
        <f t="shared" si="8"/>
        <v>0</v>
      </c>
      <c r="E55" s="4"/>
      <c r="F55" s="4"/>
      <c r="G55" s="5">
        <f t="shared" si="9"/>
        <v>0</v>
      </c>
      <c r="H55" s="4"/>
      <c r="I55" s="4"/>
      <c r="J55" s="5">
        <f t="shared" si="10"/>
        <v>0</v>
      </c>
      <c r="K55" s="4"/>
      <c r="L55" s="4"/>
      <c r="M55" s="5">
        <f t="shared" si="11"/>
        <v>0</v>
      </c>
      <c r="N55" s="4"/>
      <c r="O55" s="4"/>
      <c r="P55" s="5">
        <f t="shared" si="12"/>
        <v>0</v>
      </c>
      <c r="Q55" s="4"/>
      <c r="R55" s="4"/>
      <c r="S55" s="5"/>
      <c r="T55" s="4"/>
      <c r="U55" s="4"/>
      <c r="V55" s="5"/>
      <c r="W55" s="4"/>
      <c r="X55" s="4"/>
      <c r="Y55" s="5"/>
      <c r="Z55" s="4"/>
      <c r="AA55" s="4"/>
      <c r="AB55" s="5"/>
      <c r="AC55" s="4"/>
      <c r="AD55" s="4"/>
      <c r="AE55" s="5"/>
      <c r="AF55" s="4"/>
      <c r="AG55" s="4"/>
      <c r="AH55" s="5"/>
      <c r="AI55" s="4"/>
      <c r="AJ55" s="4"/>
      <c r="AK55" s="5"/>
      <c r="AL55" s="5">
        <f t="shared" si="13"/>
        <v>0</v>
      </c>
      <c r="AM55" s="5">
        <f t="shared" si="14"/>
        <v>0</v>
      </c>
      <c r="AN55" s="5">
        <f t="shared" si="15"/>
        <v>0</v>
      </c>
      <c r="AP55" s="5">
        <v>0</v>
      </c>
    </row>
    <row r="56" spans="1:44" x14ac:dyDescent="0.25">
      <c r="A56" s="3" t="s">
        <v>53</v>
      </c>
      <c r="B56" s="4"/>
      <c r="C56" s="5">
        <f>0</f>
        <v>0</v>
      </c>
      <c r="D56" s="5">
        <f t="shared" si="8"/>
        <v>0</v>
      </c>
      <c r="E56" s="4"/>
      <c r="F56" s="5">
        <f>0</f>
        <v>0</v>
      </c>
      <c r="G56" s="5">
        <f t="shared" si="9"/>
        <v>0</v>
      </c>
      <c r="H56" s="5">
        <f>32.31</f>
        <v>32.31</v>
      </c>
      <c r="I56" s="5">
        <f>1075</f>
        <v>1075</v>
      </c>
      <c r="J56" s="5">
        <f t="shared" si="10"/>
        <v>-1042.69</v>
      </c>
      <c r="K56" s="5">
        <f>261.87</f>
        <v>261.87</v>
      </c>
      <c r="L56" s="5">
        <f>0</f>
        <v>0</v>
      </c>
      <c r="M56" s="5">
        <f t="shared" si="11"/>
        <v>261.87</v>
      </c>
      <c r="N56" s="5">
        <f>278.11</f>
        <v>278.11</v>
      </c>
      <c r="O56" s="5">
        <f>0</f>
        <v>0</v>
      </c>
      <c r="P56" s="5">
        <f t="shared" si="12"/>
        <v>278.11</v>
      </c>
      <c r="Q56" s="4"/>
      <c r="R56" s="5"/>
      <c r="S56" s="5"/>
      <c r="T56" s="4"/>
      <c r="U56" s="5"/>
      <c r="V56" s="5"/>
      <c r="W56" s="4"/>
      <c r="X56" s="5"/>
      <c r="Y56" s="5"/>
      <c r="Z56" s="4"/>
      <c r="AA56" s="5"/>
      <c r="AB56" s="5"/>
      <c r="AC56" s="4"/>
      <c r="AD56" s="5"/>
      <c r="AE56" s="5"/>
      <c r="AF56" s="4"/>
      <c r="AG56" s="5"/>
      <c r="AH56" s="5"/>
      <c r="AI56" s="4"/>
      <c r="AJ56" s="5"/>
      <c r="AK56" s="5"/>
      <c r="AL56" s="5">
        <f t="shared" si="13"/>
        <v>572.29</v>
      </c>
      <c r="AM56" s="5">
        <f t="shared" si="14"/>
        <v>1075</v>
      </c>
      <c r="AN56" s="5">
        <f t="shared" si="15"/>
        <v>-502.71000000000004</v>
      </c>
      <c r="AP56" s="5">
        <v>1075</v>
      </c>
    </row>
    <row r="57" spans="1:44" x14ac:dyDescent="0.25">
      <c r="A57" s="3" t="s">
        <v>54</v>
      </c>
      <c r="B57" s="4"/>
      <c r="C57" s="5">
        <f>0</f>
        <v>0</v>
      </c>
      <c r="D57" s="5">
        <f t="shared" si="8"/>
        <v>0</v>
      </c>
      <c r="E57" s="4"/>
      <c r="F57" s="5">
        <f>0</f>
        <v>0</v>
      </c>
      <c r="G57" s="5">
        <f t="shared" si="9"/>
        <v>0</v>
      </c>
      <c r="H57" s="4"/>
      <c r="I57" s="5">
        <f>0</f>
        <v>0</v>
      </c>
      <c r="J57" s="5">
        <f t="shared" si="10"/>
        <v>0</v>
      </c>
      <c r="K57" s="4"/>
      <c r="L57" s="5">
        <f>0</f>
        <v>0</v>
      </c>
      <c r="M57" s="5">
        <f t="shared" si="11"/>
        <v>0</v>
      </c>
      <c r="N57" s="4"/>
      <c r="O57" s="5">
        <f>0</f>
        <v>0</v>
      </c>
      <c r="P57" s="5">
        <f t="shared" si="12"/>
        <v>0</v>
      </c>
      <c r="Q57" s="4"/>
      <c r="R57" s="5"/>
      <c r="S57" s="5"/>
      <c r="T57" s="4"/>
      <c r="U57" s="5"/>
      <c r="V57" s="5"/>
      <c r="W57" s="4"/>
      <c r="X57" s="5"/>
      <c r="Y57" s="5"/>
      <c r="Z57" s="4"/>
      <c r="AA57" s="5"/>
      <c r="AB57" s="5"/>
      <c r="AC57" s="4"/>
      <c r="AD57" s="5"/>
      <c r="AE57" s="5"/>
      <c r="AF57" s="4"/>
      <c r="AG57" s="5"/>
      <c r="AH57" s="5"/>
      <c r="AI57" s="4"/>
      <c r="AJ57" s="5"/>
      <c r="AK57" s="5"/>
      <c r="AL57" s="5">
        <f t="shared" si="13"/>
        <v>0</v>
      </c>
      <c r="AM57" s="5">
        <f t="shared" si="14"/>
        <v>0</v>
      </c>
      <c r="AN57" s="5">
        <f t="shared" si="15"/>
        <v>0</v>
      </c>
      <c r="AP57" s="5">
        <v>1075</v>
      </c>
    </row>
    <row r="58" spans="1:44" x14ac:dyDescent="0.25">
      <c r="A58" s="3" t="s">
        <v>55</v>
      </c>
      <c r="B58" s="4"/>
      <c r="C58" s="5">
        <f>0</f>
        <v>0</v>
      </c>
      <c r="D58" s="5">
        <f t="shared" si="8"/>
        <v>0</v>
      </c>
      <c r="E58" s="4"/>
      <c r="F58" s="5">
        <f>0</f>
        <v>0</v>
      </c>
      <c r="G58" s="5">
        <f t="shared" si="9"/>
        <v>0</v>
      </c>
      <c r="H58" s="4"/>
      <c r="I58" s="5">
        <f>0</f>
        <v>0</v>
      </c>
      <c r="J58" s="5">
        <f t="shared" si="10"/>
        <v>0</v>
      </c>
      <c r="K58" s="4"/>
      <c r="L58" s="5">
        <f>0</f>
        <v>0</v>
      </c>
      <c r="M58" s="5">
        <f t="shared" si="11"/>
        <v>0</v>
      </c>
      <c r="N58" s="4"/>
      <c r="O58" s="5">
        <f>0</f>
        <v>0</v>
      </c>
      <c r="P58" s="5">
        <f t="shared" si="12"/>
        <v>0</v>
      </c>
      <c r="Q58" s="4"/>
      <c r="R58" s="5"/>
      <c r="S58" s="5"/>
      <c r="T58" s="4"/>
      <c r="U58" s="5"/>
      <c r="V58" s="5"/>
      <c r="W58" s="4"/>
      <c r="X58" s="5"/>
      <c r="Y58" s="5"/>
      <c r="Z58" s="4"/>
      <c r="AA58" s="5"/>
      <c r="AB58" s="5"/>
      <c r="AC58" s="4"/>
      <c r="AD58" s="5"/>
      <c r="AE58" s="5"/>
      <c r="AF58" s="4"/>
      <c r="AG58" s="5"/>
      <c r="AH58" s="5"/>
      <c r="AI58" s="4"/>
      <c r="AJ58" s="5"/>
      <c r="AK58" s="5"/>
      <c r="AL58" s="5">
        <f t="shared" si="13"/>
        <v>0</v>
      </c>
      <c r="AM58" s="5">
        <f t="shared" si="14"/>
        <v>0</v>
      </c>
      <c r="AN58" s="5">
        <f t="shared" si="15"/>
        <v>0</v>
      </c>
      <c r="AP58" s="5">
        <v>1075</v>
      </c>
    </row>
    <row r="59" spans="1:44" ht="23.25" x14ac:dyDescent="0.25">
      <c r="A59" s="3" t="s">
        <v>56</v>
      </c>
      <c r="B59" s="4"/>
      <c r="C59" s="5">
        <f>0</f>
        <v>0</v>
      </c>
      <c r="D59" s="5">
        <f t="shared" si="8"/>
        <v>0</v>
      </c>
      <c r="E59" s="5">
        <f>84</f>
        <v>84</v>
      </c>
      <c r="F59" s="5">
        <f>0</f>
        <v>0</v>
      </c>
      <c r="G59" s="5">
        <f t="shared" si="9"/>
        <v>84</v>
      </c>
      <c r="H59" s="4"/>
      <c r="I59" s="5">
        <f>3500</f>
        <v>3500</v>
      </c>
      <c r="J59" s="5">
        <f t="shared" si="10"/>
        <v>-3500</v>
      </c>
      <c r="K59" s="4"/>
      <c r="L59" s="5">
        <f>0</f>
        <v>0</v>
      </c>
      <c r="M59" s="5">
        <f t="shared" si="11"/>
        <v>0</v>
      </c>
      <c r="N59" s="4"/>
      <c r="O59" s="5">
        <f>0</f>
        <v>0</v>
      </c>
      <c r="P59" s="5">
        <f t="shared" si="12"/>
        <v>0</v>
      </c>
      <c r="Q59" s="4"/>
      <c r="R59" s="5"/>
      <c r="S59" s="5"/>
      <c r="T59" s="4"/>
      <c r="U59" s="5"/>
      <c r="V59" s="5"/>
      <c r="W59" s="4"/>
      <c r="X59" s="5"/>
      <c r="Y59" s="5"/>
      <c r="Z59" s="4"/>
      <c r="AA59" s="5"/>
      <c r="AB59" s="5"/>
      <c r="AC59" s="4"/>
      <c r="AD59" s="5"/>
      <c r="AE59" s="5"/>
      <c r="AF59" s="4"/>
      <c r="AG59" s="5"/>
      <c r="AH59" s="5"/>
      <c r="AI59" s="4"/>
      <c r="AJ59" s="5"/>
      <c r="AK59" s="5"/>
      <c r="AL59" s="5">
        <f t="shared" si="13"/>
        <v>84</v>
      </c>
      <c r="AM59" s="5">
        <f t="shared" si="14"/>
        <v>3500</v>
      </c>
      <c r="AN59" s="5">
        <f t="shared" si="15"/>
        <v>-3416</v>
      </c>
      <c r="AP59" s="5">
        <v>3500</v>
      </c>
      <c r="AR59" s="10" t="s">
        <v>145</v>
      </c>
    </row>
    <row r="60" spans="1:44" x14ac:dyDescent="0.25">
      <c r="A60" s="3" t="s">
        <v>57</v>
      </c>
      <c r="B60" s="5">
        <f>4691.7</f>
        <v>4691.7</v>
      </c>
      <c r="C60" s="5">
        <f>4718.6</f>
        <v>4718.6000000000004</v>
      </c>
      <c r="D60" s="5">
        <f t="shared" si="8"/>
        <v>-26.900000000000546</v>
      </c>
      <c r="E60" s="5">
        <f>4691.67</f>
        <v>4691.67</v>
      </c>
      <c r="F60" s="5">
        <f>4718.6</f>
        <v>4718.6000000000004</v>
      </c>
      <c r="G60" s="5">
        <f t="shared" si="9"/>
        <v>-26.930000000000291</v>
      </c>
      <c r="H60" s="5">
        <f>4688.6</f>
        <v>4688.6000000000004</v>
      </c>
      <c r="I60" s="5">
        <f>4718.6</f>
        <v>4718.6000000000004</v>
      </c>
      <c r="J60" s="5">
        <f t="shared" si="10"/>
        <v>-30</v>
      </c>
      <c r="K60" s="5">
        <f>4252.03</f>
        <v>4252.03</v>
      </c>
      <c r="L60" s="5">
        <f>4718.6</f>
        <v>4718.6000000000004</v>
      </c>
      <c r="M60" s="5">
        <f t="shared" si="11"/>
        <v>-466.57000000000062</v>
      </c>
      <c r="N60" s="5">
        <f>1066.82</f>
        <v>1066.82</v>
      </c>
      <c r="O60" s="5">
        <f>4718.6</f>
        <v>4718.6000000000004</v>
      </c>
      <c r="P60" s="5">
        <f t="shared" si="12"/>
        <v>-3651.7800000000007</v>
      </c>
      <c r="Q60" s="4"/>
      <c r="R60" s="5"/>
      <c r="S60" s="5"/>
      <c r="T60" s="4"/>
      <c r="U60" s="5"/>
      <c r="V60" s="5"/>
      <c r="W60" s="4"/>
      <c r="X60" s="5"/>
      <c r="Y60" s="5"/>
      <c r="Z60" s="4"/>
      <c r="AA60" s="5"/>
      <c r="AB60" s="5"/>
      <c r="AC60" s="4"/>
      <c r="AD60" s="5"/>
      <c r="AE60" s="5"/>
      <c r="AF60" s="4"/>
      <c r="AG60" s="5"/>
      <c r="AH60" s="5"/>
      <c r="AI60" s="4"/>
      <c r="AJ60" s="5"/>
      <c r="AK60" s="5"/>
      <c r="AL60" s="5">
        <f t="shared" si="13"/>
        <v>19390.82</v>
      </c>
      <c r="AM60" s="5">
        <f t="shared" si="14"/>
        <v>23593</v>
      </c>
      <c r="AN60" s="5">
        <f t="shared" si="15"/>
        <v>-4202.18</v>
      </c>
      <c r="AP60" s="5">
        <v>56623.19999999999</v>
      </c>
    </row>
    <row r="61" spans="1:44" x14ac:dyDescent="0.25">
      <c r="A61" s="3" t="s">
        <v>58</v>
      </c>
      <c r="B61" s="6">
        <f>(((((B55)+(B56))+(B57))+(B58))+(B59))+(B60)</f>
        <v>4691.7</v>
      </c>
      <c r="C61" s="6">
        <f>(((((C55)+(C56))+(C57))+(C58))+(C59))+(C60)</f>
        <v>4718.6000000000004</v>
      </c>
      <c r="D61" s="6">
        <f t="shared" si="8"/>
        <v>-26.900000000000546</v>
      </c>
      <c r="E61" s="6">
        <f>(((((E55)+(E56))+(E57))+(E58))+(E59))+(E60)</f>
        <v>4775.67</v>
      </c>
      <c r="F61" s="6">
        <f>(((((F55)+(F56))+(F57))+(F58))+(F59))+(F60)</f>
        <v>4718.6000000000004</v>
      </c>
      <c r="G61" s="6">
        <f t="shared" si="9"/>
        <v>57.069999999999709</v>
      </c>
      <c r="H61" s="6">
        <f>(((((H55)+(H56))+(H57))+(H58))+(H59))+(H60)</f>
        <v>4720.9100000000008</v>
      </c>
      <c r="I61" s="6">
        <f>(((((I55)+(I56))+(I57))+(I58))+(I59))+(I60)</f>
        <v>9293.6</v>
      </c>
      <c r="J61" s="6">
        <f t="shared" si="10"/>
        <v>-4572.6899999999996</v>
      </c>
      <c r="K61" s="6">
        <f>(((((K55)+(K56))+(K57))+(K58))+(K59))+(K60)</f>
        <v>4513.8999999999996</v>
      </c>
      <c r="L61" s="6">
        <f>(((((L55)+(L56))+(L57))+(L58))+(L59))+(L60)</f>
        <v>4718.6000000000004</v>
      </c>
      <c r="M61" s="6">
        <f t="shared" si="11"/>
        <v>-204.70000000000073</v>
      </c>
      <c r="N61" s="6">
        <f>(((((N55)+(N56))+(N57))+(N58))+(N59))+(N60)</f>
        <v>1344.9299999999998</v>
      </c>
      <c r="O61" s="6">
        <f>(((((O55)+(O56))+(O57))+(O58))+(O59))+(O60)</f>
        <v>4718.6000000000004</v>
      </c>
      <c r="P61" s="6">
        <f t="shared" si="12"/>
        <v>-3373.6700000000005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>
        <f t="shared" si="13"/>
        <v>20047.11</v>
      </c>
      <c r="AM61" s="6">
        <f t="shared" si="14"/>
        <v>28168</v>
      </c>
      <c r="AN61" s="6">
        <f t="shared" si="15"/>
        <v>-8120.8899999999994</v>
      </c>
      <c r="AP61" s="6">
        <v>63348.19999999999</v>
      </c>
    </row>
    <row r="62" spans="1:44" x14ac:dyDescent="0.25">
      <c r="A62" s="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P62" s="15"/>
    </row>
    <row r="63" spans="1:44" x14ac:dyDescent="0.25">
      <c r="A63" s="3" t="s">
        <v>59</v>
      </c>
      <c r="B63" s="4"/>
      <c r="C63" s="4"/>
      <c r="D63" s="5">
        <f t="shared" si="8"/>
        <v>0</v>
      </c>
      <c r="E63" s="4"/>
      <c r="F63" s="4"/>
      <c r="G63" s="5">
        <f t="shared" si="9"/>
        <v>0</v>
      </c>
      <c r="H63" s="4"/>
      <c r="I63" s="4"/>
      <c r="J63" s="5">
        <f t="shared" si="10"/>
        <v>0</v>
      </c>
      <c r="K63" s="4"/>
      <c r="L63" s="4"/>
      <c r="M63" s="5">
        <f t="shared" si="11"/>
        <v>0</v>
      </c>
      <c r="N63" s="4"/>
      <c r="O63" s="4"/>
      <c r="P63" s="5">
        <f t="shared" si="12"/>
        <v>0</v>
      </c>
      <c r="Q63" s="4"/>
      <c r="R63" s="4"/>
      <c r="S63" s="5"/>
      <c r="T63" s="4"/>
      <c r="U63" s="4"/>
      <c r="V63" s="5"/>
      <c r="W63" s="4"/>
      <c r="X63" s="4"/>
      <c r="Y63" s="5"/>
      <c r="Z63" s="4"/>
      <c r="AA63" s="4"/>
      <c r="AB63" s="5"/>
      <c r="AC63" s="4"/>
      <c r="AD63" s="4"/>
      <c r="AE63" s="5"/>
      <c r="AF63" s="4"/>
      <c r="AG63" s="4"/>
      <c r="AH63" s="5"/>
      <c r="AI63" s="4"/>
      <c r="AJ63" s="4"/>
      <c r="AK63" s="5"/>
      <c r="AL63" s="5">
        <f t="shared" si="13"/>
        <v>0</v>
      </c>
      <c r="AM63" s="5">
        <f t="shared" si="14"/>
        <v>0</v>
      </c>
      <c r="AN63" s="5">
        <f t="shared" si="15"/>
        <v>0</v>
      </c>
      <c r="AP63" s="5">
        <v>0</v>
      </c>
    </row>
    <row r="64" spans="1:44" ht="23.25" x14ac:dyDescent="0.25">
      <c r="A64" s="3" t="s">
        <v>60</v>
      </c>
      <c r="B64" s="4"/>
      <c r="C64" s="5">
        <f>600</f>
        <v>600</v>
      </c>
      <c r="D64" s="5">
        <f t="shared" si="8"/>
        <v>-600</v>
      </c>
      <c r="E64" s="5">
        <f>2136.83</f>
        <v>2136.83</v>
      </c>
      <c r="F64" s="5">
        <f>6200</f>
        <v>6200</v>
      </c>
      <c r="G64" s="5">
        <f t="shared" si="9"/>
        <v>-4063.17</v>
      </c>
      <c r="H64" s="5">
        <f>2161.25</f>
        <v>2161.25</v>
      </c>
      <c r="I64" s="5">
        <f>19200</f>
        <v>19200</v>
      </c>
      <c r="J64" s="5">
        <f t="shared" si="10"/>
        <v>-17038.75</v>
      </c>
      <c r="K64" s="5">
        <f>9138.52</f>
        <v>9138.52</v>
      </c>
      <c r="L64" s="5">
        <f>9000</f>
        <v>9000</v>
      </c>
      <c r="M64" s="5">
        <f t="shared" si="11"/>
        <v>138.52000000000044</v>
      </c>
      <c r="N64" s="5">
        <f>15315.73</f>
        <v>15315.73</v>
      </c>
      <c r="O64" s="5">
        <f>4000</f>
        <v>4000</v>
      </c>
      <c r="P64" s="5">
        <f t="shared" si="12"/>
        <v>11315.73</v>
      </c>
      <c r="Q64" s="4"/>
      <c r="R64" s="5"/>
      <c r="S64" s="5"/>
      <c r="T64" s="4"/>
      <c r="U64" s="5"/>
      <c r="V64" s="5"/>
      <c r="W64" s="4"/>
      <c r="X64" s="5"/>
      <c r="Y64" s="5"/>
      <c r="Z64" s="4"/>
      <c r="AA64" s="5"/>
      <c r="AB64" s="5"/>
      <c r="AC64" s="4"/>
      <c r="AD64" s="5"/>
      <c r="AE64" s="5"/>
      <c r="AF64" s="4"/>
      <c r="AG64" s="5"/>
      <c r="AH64" s="5"/>
      <c r="AI64" s="4"/>
      <c r="AJ64" s="5"/>
      <c r="AK64" s="5"/>
      <c r="AL64" s="5">
        <f t="shared" si="13"/>
        <v>28752.33</v>
      </c>
      <c r="AM64" s="5">
        <f t="shared" si="14"/>
        <v>39000</v>
      </c>
      <c r="AN64" s="5">
        <f t="shared" si="15"/>
        <v>-10247.669999999998</v>
      </c>
      <c r="AP64" s="5">
        <v>40000</v>
      </c>
      <c r="AR64" s="10" t="s">
        <v>146</v>
      </c>
    </row>
    <row r="65" spans="1:44" x14ac:dyDescent="0.25">
      <c r="A65" s="3" t="s">
        <v>61</v>
      </c>
      <c r="B65" s="4"/>
      <c r="C65" s="5">
        <f>0</f>
        <v>0</v>
      </c>
      <c r="D65" s="5">
        <f t="shared" si="8"/>
        <v>0</v>
      </c>
      <c r="E65" s="4"/>
      <c r="F65" s="5">
        <f>0</f>
        <v>0</v>
      </c>
      <c r="G65" s="5">
        <f t="shared" si="9"/>
        <v>0</v>
      </c>
      <c r="H65" s="4"/>
      <c r="I65" s="5">
        <f>0</f>
        <v>0</v>
      </c>
      <c r="J65" s="5">
        <f t="shared" si="10"/>
        <v>0</v>
      </c>
      <c r="K65" s="4"/>
      <c r="L65" s="5">
        <f>0</f>
        <v>0</v>
      </c>
      <c r="M65" s="5">
        <f t="shared" si="11"/>
        <v>0</v>
      </c>
      <c r="N65" s="4"/>
      <c r="O65" s="5">
        <f>0</f>
        <v>0</v>
      </c>
      <c r="P65" s="5">
        <f t="shared" si="12"/>
        <v>0</v>
      </c>
      <c r="Q65" s="4"/>
      <c r="R65" s="5"/>
      <c r="S65" s="5"/>
      <c r="T65" s="4"/>
      <c r="U65" s="5"/>
      <c r="V65" s="5"/>
      <c r="W65" s="4"/>
      <c r="X65" s="5"/>
      <c r="Y65" s="5"/>
      <c r="Z65" s="4"/>
      <c r="AA65" s="5"/>
      <c r="AB65" s="5"/>
      <c r="AC65" s="4"/>
      <c r="AD65" s="5"/>
      <c r="AE65" s="5"/>
      <c r="AF65" s="4"/>
      <c r="AG65" s="5"/>
      <c r="AH65" s="5"/>
      <c r="AI65" s="4"/>
      <c r="AJ65" s="5"/>
      <c r="AK65" s="5"/>
      <c r="AL65" s="5">
        <f t="shared" si="13"/>
        <v>0</v>
      </c>
      <c r="AM65" s="5">
        <f t="shared" si="14"/>
        <v>0</v>
      </c>
      <c r="AN65" s="5">
        <f t="shared" si="15"/>
        <v>0</v>
      </c>
      <c r="AP65" s="5">
        <v>1000</v>
      </c>
    </row>
    <row r="66" spans="1:44" x14ac:dyDescent="0.25">
      <c r="A66" s="3" t="s">
        <v>62</v>
      </c>
      <c r="B66" s="6">
        <f>((B63)+(B64))+(B65)</f>
        <v>0</v>
      </c>
      <c r="C66" s="6">
        <f>((C63)+(C64))+(C65)</f>
        <v>600</v>
      </c>
      <c r="D66" s="6">
        <f t="shared" si="8"/>
        <v>-600</v>
      </c>
      <c r="E66" s="6">
        <f>((E63)+(E64))+(E65)</f>
        <v>2136.83</v>
      </c>
      <c r="F66" s="6">
        <f>((F63)+(F64))+(F65)</f>
        <v>6200</v>
      </c>
      <c r="G66" s="6">
        <f t="shared" si="9"/>
        <v>-4063.17</v>
      </c>
      <c r="H66" s="6">
        <f>((H63)+(H64))+(H65)</f>
        <v>2161.25</v>
      </c>
      <c r="I66" s="6">
        <f>((I63)+(I64))+(I65)</f>
        <v>19200</v>
      </c>
      <c r="J66" s="6">
        <f t="shared" si="10"/>
        <v>-17038.75</v>
      </c>
      <c r="K66" s="6">
        <f>((K63)+(K64))+(K65)</f>
        <v>9138.52</v>
      </c>
      <c r="L66" s="6">
        <f>((L63)+(L64))+(L65)</f>
        <v>9000</v>
      </c>
      <c r="M66" s="6">
        <f t="shared" si="11"/>
        <v>138.52000000000044</v>
      </c>
      <c r="N66" s="6">
        <f>((N63)+(N64))+(N65)</f>
        <v>15315.73</v>
      </c>
      <c r="O66" s="6">
        <f>((O63)+(O64))+(O65)</f>
        <v>4000</v>
      </c>
      <c r="P66" s="6">
        <f t="shared" si="12"/>
        <v>11315.73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>
        <f t="shared" si="13"/>
        <v>28752.33</v>
      </c>
      <c r="AM66" s="6">
        <f t="shared" si="14"/>
        <v>39000</v>
      </c>
      <c r="AN66" s="6">
        <f t="shared" si="15"/>
        <v>-10247.669999999998</v>
      </c>
      <c r="AP66" s="6">
        <v>41000</v>
      </c>
    </row>
    <row r="67" spans="1:44" x14ac:dyDescent="0.25">
      <c r="A67" s="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P67" s="15"/>
    </row>
    <row r="68" spans="1:44" x14ac:dyDescent="0.25">
      <c r="A68" s="3" t="s">
        <v>63</v>
      </c>
      <c r="B68" s="4"/>
      <c r="C68" s="4"/>
      <c r="D68" s="5">
        <f t="shared" si="8"/>
        <v>0</v>
      </c>
      <c r="E68" s="4"/>
      <c r="F68" s="4"/>
      <c r="G68" s="5">
        <f t="shared" si="9"/>
        <v>0</v>
      </c>
      <c r="H68" s="4"/>
      <c r="I68" s="4"/>
      <c r="J68" s="5">
        <f t="shared" si="10"/>
        <v>0</v>
      </c>
      <c r="K68" s="4"/>
      <c r="L68" s="4"/>
      <c r="M68" s="5">
        <f t="shared" si="11"/>
        <v>0</v>
      </c>
      <c r="N68" s="4"/>
      <c r="O68" s="4"/>
      <c r="P68" s="5">
        <f t="shared" si="12"/>
        <v>0</v>
      </c>
      <c r="Q68" s="4"/>
      <c r="R68" s="4"/>
      <c r="S68" s="5"/>
      <c r="T68" s="4"/>
      <c r="U68" s="4"/>
      <c r="V68" s="5"/>
      <c r="W68" s="4"/>
      <c r="X68" s="4"/>
      <c r="Y68" s="5"/>
      <c r="Z68" s="4"/>
      <c r="AA68" s="4"/>
      <c r="AB68" s="5"/>
      <c r="AC68" s="4"/>
      <c r="AD68" s="4"/>
      <c r="AE68" s="5"/>
      <c r="AF68" s="4"/>
      <c r="AG68" s="4"/>
      <c r="AH68" s="5"/>
      <c r="AI68" s="4"/>
      <c r="AJ68" s="4"/>
      <c r="AK68" s="5"/>
      <c r="AL68" s="5">
        <f t="shared" si="13"/>
        <v>0</v>
      </c>
      <c r="AM68" s="5">
        <f t="shared" si="14"/>
        <v>0</v>
      </c>
      <c r="AN68" s="5">
        <f t="shared" si="15"/>
        <v>0</v>
      </c>
      <c r="AP68" s="5">
        <v>0</v>
      </c>
    </row>
    <row r="69" spans="1:44" x14ac:dyDescent="0.25">
      <c r="A69" s="3" t="s">
        <v>64</v>
      </c>
      <c r="B69" s="4"/>
      <c r="C69" s="5">
        <f>200</f>
        <v>200</v>
      </c>
      <c r="D69" s="5">
        <f t="shared" si="8"/>
        <v>-200</v>
      </c>
      <c r="E69" s="4"/>
      <c r="F69" s="5">
        <f>0</f>
        <v>0</v>
      </c>
      <c r="G69" s="5">
        <f t="shared" si="9"/>
        <v>0</v>
      </c>
      <c r="H69" s="4"/>
      <c r="I69" s="5">
        <f>0</f>
        <v>0</v>
      </c>
      <c r="J69" s="5">
        <f t="shared" si="10"/>
        <v>0</v>
      </c>
      <c r="K69" s="4"/>
      <c r="L69" s="5">
        <f>0</f>
        <v>0</v>
      </c>
      <c r="M69" s="5">
        <f t="shared" si="11"/>
        <v>0</v>
      </c>
      <c r="N69" s="4"/>
      <c r="O69" s="5">
        <f>0</f>
        <v>0</v>
      </c>
      <c r="P69" s="5">
        <f t="shared" si="12"/>
        <v>0</v>
      </c>
      <c r="Q69" s="4"/>
      <c r="R69" s="5"/>
      <c r="S69" s="5"/>
      <c r="T69" s="4"/>
      <c r="U69" s="5"/>
      <c r="V69" s="5"/>
      <c r="W69" s="4"/>
      <c r="X69" s="5"/>
      <c r="Y69" s="5"/>
      <c r="Z69" s="4"/>
      <c r="AA69" s="5"/>
      <c r="AB69" s="5"/>
      <c r="AC69" s="4"/>
      <c r="AD69" s="5"/>
      <c r="AE69" s="5"/>
      <c r="AF69" s="4"/>
      <c r="AG69" s="5"/>
      <c r="AH69" s="5"/>
      <c r="AI69" s="4"/>
      <c r="AJ69" s="5"/>
      <c r="AK69" s="5"/>
      <c r="AL69" s="5">
        <f t="shared" si="13"/>
        <v>0</v>
      </c>
      <c r="AM69" s="5">
        <f t="shared" si="14"/>
        <v>200</v>
      </c>
      <c r="AN69" s="5">
        <f t="shared" si="15"/>
        <v>-200</v>
      </c>
      <c r="AP69" s="5">
        <v>200</v>
      </c>
    </row>
    <row r="70" spans="1:44" x14ac:dyDescent="0.25">
      <c r="A70" s="3" t="s">
        <v>65</v>
      </c>
      <c r="B70" s="5">
        <f>1504.1</f>
        <v>1504.1</v>
      </c>
      <c r="C70" s="5">
        <f>1504.09</f>
        <v>1504.09</v>
      </c>
      <c r="D70" s="5">
        <f t="shared" si="8"/>
        <v>9.9999999999909051E-3</v>
      </c>
      <c r="E70" s="5">
        <f>1504.1</f>
        <v>1504.1</v>
      </c>
      <c r="F70" s="5">
        <f>1504.09</f>
        <v>1504.09</v>
      </c>
      <c r="G70" s="5">
        <f t="shared" si="9"/>
        <v>9.9999999999909051E-3</v>
      </c>
      <c r="H70" s="5">
        <f>1504.1</f>
        <v>1504.1</v>
      </c>
      <c r="I70" s="5">
        <f>1504.09</f>
        <v>1504.09</v>
      </c>
      <c r="J70" s="5">
        <f t="shared" si="10"/>
        <v>9.9999999999909051E-3</v>
      </c>
      <c r="K70" s="5">
        <f>1504.1</f>
        <v>1504.1</v>
      </c>
      <c r="L70" s="5">
        <f>1504.09</f>
        <v>1504.09</v>
      </c>
      <c r="M70" s="5">
        <f t="shared" si="11"/>
        <v>9.9999999999909051E-3</v>
      </c>
      <c r="N70" s="5">
        <f>1504.1</f>
        <v>1504.1</v>
      </c>
      <c r="O70" s="5">
        <f>1504.09</f>
        <v>1504.09</v>
      </c>
      <c r="P70" s="5">
        <f t="shared" si="12"/>
        <v>9.9999999999909051E-3</v>
      </c>
      <c r="Q70" s="4"/>
      <c r="R70" s="5"/>
      <c r="S70" s="5"/>
      <c r="T70" s="4"/>
      <c r="U70" s="5"/>
      <c r="V70" s="5"/>
      <c r="W70" s="4"/>
      <c r="X70" s="5"/>
      <c r="Y70" s="5"/>
      <c r="Z70" s="4"/>
      <c r="AA70" s="5"/>
      <c r="AB70" s="5"/>
      <c r="AC70" s="4"/>
      <c r="AD70" s="5"/>
      <c r="AE70" s="5"/>
      <c r="AF70" s="4"/>
      <c r="AG70" s="5"/>
      <c r="AH70" s="5"/>
      <c r="AI70" s="4"/>
      <c r="AJ70" s="5"/>
      <c r="AK70" s="5"/>
      <c r="AL70" s="5">
        <f t="shared" si="13"/>
        <v>7520.5</v>
      </c>
      <c r="AM70" s="5">
        <f t="shared" si="14"/>
        <v>7520.45</v>
      </c>
      <c r="AN70" s="5">
        <f t="shared" si="15"/>
        <v>5.0000000000181899E-2</v>
      </c>
      <c r="AP70" s="5">
        <v>18049.079999999998</v>
      </c>
    </row>
    <row r="71" spans="1:44" x14ac:dyDescent="0.25">
      <c r="A71" s="3" t="s">
        <v>66</v>
      </c>
      <c r="B71" s="6">
        <f>((B68)+(B69))+(B70)</f>
        <v>1504.1</v>
      </c>
      <c r="C71" s="6">
        <f>((C68)+(C69))+(C70)</f>
        <v>1704.09</v>
      </c>
      <c r="D71" s="6">
        <f t="shared" si="8"/>
        <v>-199.99</v>
      </c>
      <c r="E71" s="6">
        <f>((E68)+(E69))+(E70)</f>
        <v>1504.1</v>
      </c>
      <c r="F71" s="6">
        <f>((F68)+(F69))+(F70)</f>
        <v>1504.09</v>
      </c>
      <c r="G71" s="6">
        <f t="shared" si="9"/>
        <v>9.9999999999909051E-3</v>
      </c>
      <c r="H71" s="6">
        <f>((H68)+(H69))+(H70)</f>
        <v>1504.1</v>
      </c>
      <c r="I71" s="6">
        <f>((I68)+(I69))+(I70)</f>
        <v>1504.09</v>
      </c>
      <c r="J71" s="6">
        <f t="shared" si="10"/>
        <v>9.9999999999909051E-3</v>
      </c>
      <c r="K71" s="6">
        <f>((K68)+(K69))+(K70)</f>
        <v>1504.1</v>
      </c>
      <c r="L71" s="6">
        <f>((L68)+(L69))+(L70)</f>
        <v>1504.09</v>
      </c>
      <c r="M71" s="6">
        <f t="shared" si="11"/>
        <v>9.9999999999909051E-3</v>
      </c>
      <c r="N71" s="6">
        <f>((N68)+(N69))+(N70)</f>
        <v>1504.1</v>
      </c>
      <c r="O71" s="6">
        <f>((O68)+(O69))+(O70)</f>
        <v>1504.09</v>
      </c>
      <c r="P71" s="6">
        <f t="shared" si="12"/>
        <v>9.9999999999909051E-3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>
        <f t="shared" si="13"/>
        <v>7520.5</v>
      </c>
      <c r="AM71" s="6">
        <f t="shared" si="14"/>
        <v>7720.45</v>
      </c>
      <c r="AN71" s="6">
        <f t="shared" si="15"/>
        <v>-199.94999999999982</v>
      </c>
      <c r="AP71" s="6">
        <v>18249.079999999998</v>
      </c>
    </row>
    <row r="72" spans="1:44" x14ac:dyDescent="0.25">
      <c r="A72" s="3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P72" s="15"/>
    </row>
    <row r="73" spans="1:44" x14ac:dyDescent="0.25">
      <c r="A73" s="3" t="s">
        <v>67</v>
      </c>
      <c r="B73" s="4"/>
      <c r="C73" s="4"/>
      <c r="D73" s="5">
        <f t="shared" si="8"/>
        <v>0</v>
      </c>
      <c r="E73" s="4"/>
      <c r="F73" s="4"/>
      <c r="G73" s="5">
        <f t="shared" si="9"/>
        <v>0</v>
      </c>
      <c r="H73" s="4"/>
      <c r="I73" s="4"/>
      <c r="J73" s="5">
        <f t="shared" si="10"/>
        <v>0</v>
      </c>
      <c r="K73" s="4"/>
      <c r="L73" s="4"/>
      <c r="M73" s="5">
        <f t="shared" si="11"/>
        <v>0</v>
      </c>
      <c r="N73" s="4"/>
      <c r="O73" s="4"/>
      <c r="P73" s="5">
        <f t="shared" si="12"/>
        <v>0</v>
      </c>
      <c r="Q73" s="4"/>
      <c r="R73" s="4"/>
      <c r="S73" s="5"/>
      <c r="T73" s="4"/>
      <c r="U73" s="4"/>
      <c r="V73" s="5"/>
      <c r="W73" s="4"/>
      <c r="X73" s="4"/>
      <c r="Y73" s="5"/>
      <c r="Z73" s="4"/>
      <c r="AA73" s="4"/>
      <c r="AB73" s="5"/>
      <c r="AC73" s="4"/>
      <c r="AD73" s="4"/>
      <c r="AE73" s="5"/>
      <c r="AF73" s="4"/>
      <c r="AG73" s="4"/>
      <c r="AH73" s="5"/>
      <c r="AI73" s="4"/>
      <c r="AJ73" s="4"/>
      <c r="AK73" s="5"/>
      <c r="AL73" s="5">
        <f t="shared" si="13"/>
        <v>0</v>
      </c>
      <c r="AM73" s="5">
        <f t="shared" si="14"/>
        <v>0</v>
      </c>
      <c r="AN73" s="5">
        <f t="shared" si="15"/>
        <v>0</v>
      </c>
      <c r="AP73" s="5">
        <v>0</v>
      </c>
    </row>
    <row r="74" spans="1:44" x14ac:dyDescent="0.25">
      <c r="A74" s="3" t="s">
        <v>68</v>
      </c>
      <c r="B74" s="4"/>
      <c r="C74" s="5">
        <f>500</f>
        <v>500</v>
      </c>
      <c r="D74" s="5">
        <f t="shared" si="8"/>
        <v>-500</v>
      </c>
      <c r="E74" s="4"/>
      <c r="F74" s="5">
        <f>0</f>
        <v>0</v>
      </c>
      <c r="G74" s="5">
        <f t="shared" si="9"/>
        <v>0</v>
      </c>
      <c r="H74" s="4"/>
      <c r="I74" s="5">
        <f>0</f>
        <v>0</v>
      </c>
      <c r="J74" s="5">
        <f t="shared" si="10"/>
        <v>0</v>
      </c>
      <c r="K74" s="4"/>
      <c r="L74" s="5">
        <f>0</f>
        <v>0</v>
      </c>
      <c r="M74" s="5">
        <f t="shared" si="11"/>
        <v>0</v>
      </c>
      <c r="N74" s="4"/>
      <c r="O74" s="5">
        <f>0</f>
        <v>0</v>
      </c>
      <c r="P74" s="5">
        <f t="shared" si="12"/>
        <v>0</v>
      </c>
      <c r="Q74" s="4"/>
      <c r="R74" s="5"/>
      <c r="S74" s="5"/>
      <c r="T74" s="4"/>
      <c r="U74" s="5"/>
      <c r="V74" s="5"/>
      <c r="W74" s="4"/>
      <c r="X74" s="5"/>
      <c r="Y74" s="5"/>
      <c r="Z74" s="4"/>
      <c r="AA74" s="5"/>
      <c r="AB74" s="5"/>
      <c r="AC74" s="4"/>
      <c r="AD74" s="5"/>
      <c r="AE74" s="5"/>
      <c r="AF74" s="4"/>
      <c r="AG74" s="5"/>
      <c r="AH74" s="5"/>
      <c r="AI74" s="4"/>
      <c r="AJ74" s="5"/>
      <c r="AK74" s="5"/>
      <c r="AL74" s="5">
        <f t="shared" si="13"/>
        <v>0</v>
      </c>
      <c r="AM74" s="5">
        <f t="shared" si="14"/>
        <v>500</v>
      </c>
      <c r="AN74" s="5">
        <f t="shared" si="15"/>
        <v>-500</v>
      </c>
      <c r="AP74" s="5">
        <v>500</v>
      </c>
    </row>
    <row r="75" spans="1:44" ht="23.25" x14ac:dyDescent="0.25">
      <c r="A75" s="3" t="s">
        <v>69</v>
      </c>
      <c r="B75" s="4"/>
      <c r="C75" s="4"/>
      <c r="D75" s="5">
        <f t="shared" si="8"/>
        <v>0</v>
      </c>
      <c r="E75" s="4"/>
      <c r="F75" s="4"/>
      <c r="G75" s="5">
        <f t="shared" si="9"/>
        <v>0</v>
      </c>
      <c r="H75" s="4"/>
      <c r="I75" s="4"/>
      <c r="J75" s="5">
        <f t="shared" si="10"/>
        <v>0</v>
      </c>
      <c r="K75" s="4"/>
      <c r="L75" s="4"/>
      <c r="M75" s="5">
        <f t="shared" si="11"/>
        <v>0</v>
      </c>
      <c r="N75" s="5">
        <f>3002.04</f>
        <v>3002.04</v>
      </c>
      <c r="O75" s="4"/>
      <c r="P75" s="5">
        <f t="shared" si="12"/>
        <v>3002.04</v>
      </c>
      <c r="Q75" s="4"/>
      <c r="R75" s="4"/>
      <c r="S75" s="5"/>
      <c r="T75" s="4"/>
      <c r="U75" s="4"/>
      <c r="V75" s="5"/>
      <c r="W75" s="4"/>
      <c r="X75" s="4"/>
      <c r="Y75" s="5"/>
      <c r="Z75" s="4"/>
      <c r="AA75" s="4"/>
      <c r="AB75" s="5"/>
      <c r="AC75" s="4"/>
      <c r="AD75" s="4"/>
      <c r="AE75" s="5"/>
      <c r="AF75" s="4"/>
      <c r="AG75" s="4"/>
      <c r="AH75" s="5"/>
      <c r="AI75" s="4"/>
      <c r="AJ75" s="4"/>
      <c r="AK75" s="5"/>
      <c r="AL75" s="5">
        <f t="shared" si="13"/>
        <v>3002.04</v>
      </c>
      <c r="AM75" s="5">
        <f t="shared" si="14"/>
        <v>0</v>
      </c>
      <c r="AN75" s="5">
        <f t="shared" si="15"/>
        <v>3002.04</v>
      </c>
      <c r="AP75" s="5">
        <v>0</v>
      </c>
      <c r="AR75" s="10" t="s">
        <v>147</v>
      </c>
    </row>
    <row r="76" spans="1:44" x14ac:dyDescent="0.25">
      <c r="A76" s="3" t="s">
        <v>70</v>
      </c>
      <c r="B76" s="5">
        <f>8136.98</f>
        <v>8136.98</v>
      </c>
      <c r="C76" s="5">
        <f>8317.91</f>
        <v>8317.91</v>
      </c>
      <c r="D76" s="5">
        <f t="shared" si="8"/>
        <v>-180.93000000000029</v>
      </c>
      <c r="E76" s="5">
        <f>8136.92</f>
        <v>8136.92</v>
      </c>
      <c r="F76" s="5">
        <f>8317.91</f>
        <v>8317.91</v>
      </c>
      <c r="G76" s="5">
        <f t="shared" si="9"/>
        <v>-180.98999999999978</v>
      </c>
      <c r="H76" s="5">
        <f>8139.99</f>
        <v>8139.99</v>
      </c>
      <c r="I76" s="5">
        <f>8317.91</f>
        <v>8317.91</v>
      </c>
      <c r="J76" s="5">
        <f t="shared" si="10"/>
        <v>-177.92000000000007</v>
      </c>
      <c r="K76" s="5">
        <f>7703.43</f>
        <v>7703.43</v>
      </c>
      <c r="L76" s="5">
        <f>8317.91</f>
        <v>8317.91</v>
      </c>
      <c r="M76" s="5">
        <f t="shared" si="11"/>
        <v>-614.47999999999956</v>
      </c>
      <c r="N76" s="5">
        <f>7025.11</f>
        <v>7025.11</v>
      </c>
      <c r="O76" s="5">
        <f>8317.91</f>
        <v>8317.91</v>
      </c>
      <c r="P76" s="5">
        <f t="shared" si="12"/>
        <v>-1292.8000000000002</v>
      </c>
      <c r="Q76" s="4"/>
      <c r="R76" s="5"/>
      <c r="S76" s="5"/>
      <c r="T76" s="4"/>
      <c r="U76" s="5"/>
      <c r="V76" s="5"/>
      <c r="W76" s="4"/>
      <c r="X76" s="5"/>
      <c r="Y76" s="5"/>
      <c r="Z76" s="4"/>
      <c r="AA76" s="5"/>
      <c r="AB76" s="5"/>
      <c r="AC76" s="4"/>
      <c r="AD76" s="5"/>
      <c r="AE76" s="5"/>
      <c r="AF76" s="4"/>
      <c r="AG76" s="5"/>
      <c r="AH76" s="5"/>
      <c r="AI76" s="4"/>
      <c r="AJ76" s="5"/>
      <c r="AK76" s="5"/>
      <c r="AL76" s="5">
        <f t="shared" si="13"/>
        <v>39142.43</v>
      </c>
      <c r="AM76" s="5">
        <f t="shared" si="14"/>
        <v>41589.550000000003</v>
      </c>
      <c r="AN76" s="5">
        <f t="shared" si="15"/>
        <v>-2447.1200000000026</v>
      </c>
      <c r="AP76" s="5">
        <v>99814.920000000027</v>
      </c>
    </row>
    <row r="77" spans="1:44" x14ac:dyDescent="0.25">
      <c r="A77" s="3" t="s">
        <v>71</v>
      </c>
      <c r="B77" s="6">
        <f>(((B73)+(B74))+(B75))+(B76)</f>
        <v>8136.98</v>
      </c>
      <c r="C77" s="6">
        <f>(((C73)+(C74))+(C75))+(C76)</f>
        <v>8817.91</v>
      </c>
      <c r="D77" s="6">
        <f t="shared" si="8"/>
        <v>-680.93000000000029</v>
      </c>
      <c r="E77" s="6">
        <f>(((E73)+(E74))+(E75))+(E76)</f>
        <v>8136.92</v>
      </c>
      <c r="F77" s="6">
        <f>(((F73)+(F74))+(F75))+(F76)</f>
        <v>8317.91</v>
      </c>
      <c r="G77" s="6">
        <f t="shared" si="9"/>
        <v>-180.98999999999978</v>
      </c>
      <c r="H77" s="6">
        <f>(((H73)+(H74))+(H75))+(H76)</f>
        <v>8139.99</v>
      </c>
      <c r="I77" s="6">
        <f>(((I73)+(I74))+(I75))+(I76)</f>
        <v>8317.91</v>
      </c>
      <c r="J77" s="6">
        <f t="shared" si="10"/>
        <v>-177.92000000000007</v>
      </c>
      <c r="K77" s="6">
        <f>(((K73)+(K74))+(K75))+(K76)</f>
        <v>7703.43</v>
      </c>
      <c r="L77" s="6">
        <f>(((L73)+(L74))+(L75))+(L76)</f>
        <v>8317.91</v>
      </c>
      <c r="M77" s="6">
        <f t="shared" si="11"/>
        <v>-614.47999999999956</v>
      </c>
      <c r="N77" s="6">
        <f>(((N73)+(N74))+(N75))+(N76)</f>
        <v>10027.15</v>
      </c>
      <c r="O77" s="6">
        <f>(((O73)+(O74))+(O75))+(O76)</f>
        <v>8317.91</v>
      </c>
      <c r="P77" s="6">
        <f t="shared" si="12"/>
        <v>1709.2399999999998</v>
      </c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>
        <f t="shared" si="13"/>
        <v>42144.47</v>
      </c>
      <c r="AM77" s="6">
        <f t="shared" si="14"/>
        <v>42089.55</v>
      </c>
      <c r="AN77" s="6">
        <f t="shared" si="15"/>
        <v>54.919999999998254</v>
      </c>
      <c r="AP77" s="6">
        <v>100314.92000000003</v>
      </c>
    </row>
    <row r="78" spans="1:44" x14ac:dyDescent="0.25">
      <c r="A78" s="3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P78" s="15"/>
    </row>
    <row r="79" spans="1:44" x14ac:dyDescent="0.25">
      <c r="A79" s="3" t="s">
        <v>72</v>
      </c>
      <c r="B79" s="4"/>
      <c r="C79" s="4"/>
      <c r="D79" s="5">
        <f t="shared" si="8"/>
        <v>0</v>
      </c>
      <c r="E79" s="4"/>
      <c r="F79" s="4"/>
      <c r="G79" s="5">
        <f t="shared" si="9"/>
        <v>0</v>
      </c>
      <c r="H79" s="4"/>
      <c r="I79" s="4"/>
      <c r="J79" s="5">
        <f t="shared" si="10"/>
        <v>0</v>
      </c>
      <c r="K79" s="4"/>
      <c r="L79" s="4"/>
      <c r="M79" s="5">
        <f t="shared" si="11"/>
        <v>0</v>
      </c>
      <c r="N79" s="4"/>
      <c r="O79" s="4"/>
      <c r="P79" s="5">
        <f t="shared" si="12"/>
        <v>0</v>
      </c>
      <c r="Q79" s="4"/>
      <c r="R79" s="4"/>
      <c r="S79" s="5"/>
      <c r="T79" s="4"/>
      <c r="U79" s="4"/>
      <c r="V79" s="5"/>
      <c r="W79" s="4"/>
      <c r="X79" s="4"/>
      <c r="Y79" s="5"/>
      <c r="Z79" s="4"/>
      <c r="AA79" s="4"/>
      <c r="AB79" s="5"/>
      <c r="AC79" s="4"/>
      <c r="AD79" s="4"/>
      <c r="AE79" s="5"/>
      <c r="AF79" s="4"/>
      <c r="AG79" s="4"/>
      <c r="AH79" s="5"/>
      <c r="AI79" s="4"/>
      <c r="AJ79" s="4"/>
      <c r="AK79" s="5"/>
      <c r="AL79" s="5">
        <f t="shared" si="13"/>
        <v>0</v>
      </c>
      <c r="AM79" s="5">
        <f t="shared" si="14"/>
        <v>0</v>
      </c>
      <c r="AN79" s="5">
        <f t="shared" si="15"/>
        <v>0</v>
      </c>
      <c r="AP79" s="5">
        <v>0</v>
      </c>
    </row>
    <row r="80" spans="1:44" x14ac:dyDescent="0.25">
      <c r="A80" s="3" t="s">
        <v>73</v>
      </c>
      <c r="B80" s="4"/>
      <c r="C80" s="5">
        <f>200</f>
        <v>200</v>
      </c>
      <c r="D80" s="5">
        <f t="shared" si="8"/>
        <v>-200</v>
      </c>
      <c r="E80" s="4"/>
      <c r="F80" s="5">
        <f>200</f>
        <v>200</v>
      </c>
      <c r="G80" s="5">
        <f t="shared" si="9"/>
        <v>-200</v>
      </c>
      <c r="H80" s="4"/>
      <c r="I80" s="5">
        <f>200</f>
        <v>200</v>
      </c>
      <c r="J80" s="5">
        <f t="shared" si="10"/>
        <v>-200</v>
      </c>
      <c r="K80" s="4"/>
      <c r="L80" s="5">
        <f>200</f>
        <v>200</v>
      </c>
      <c r="M80" s="5">
        <f t="shared" si="11"/>
        <v>-200</v>
      </c>
      <c r="N80" s="4"/>
      <c r="O80" s="5">
        <f>200</f>
        <v>200</v>
      </c>
      <c r="P80" s="5">
        <f t="shared" si="12"/>
        <v>-200</v>
      </c>
      <c r="Q80" s="4"/>
      <c r="R80" s="5"/>
      <c r="S80" s="5"/>
      <c r="T80" s="4"/>
      <c r="U80" s="5"/>
      <c r="V80" s="5"/>
      <c r="W80" s="4"/>
      <c r="X80" s="5"/>
      <c r="Y80" s="5"/>
      <c r="Z80" s="4"/>
      <c r="AA80" s="5"/>
      <c r="AB80" s="5"/>
      <c r="AC80" s="4"/>
      <c r="AD80" s="5"/>
      <c r="AE80" s="5"/>
      <c r="AF80" s="4"/>
      <c r="AG80" s="5"/>
      <c r="AH80" s="5"/>
      <c r="AI80" s="4"/>
      <c r="AJ80" s="5"/>
      <c r="AK80" s="5"/>
      <c r="AL80" s="5">
        <f t="shared" si="13"/>
        <v>0</v>
      </c>
      <c r="AM80" s="5">
        <f t="shared" si="14"/>
        <v>1000</v>
      </c>
      <c r="AN80" s="5">
        <f t="shared" si="15"/>
        <v>-1000</v>
      </c>
      <c r="AP80" s="5">
        <v>2400</v>
      </c>
    </row>
    <row r="81" spans="1:44" x14ac:dyDescent="0.25">
      <c r="A81" s="3" t="s">
        <v>74</v>
      </c>
      <c r="B81" s="5">
        <f>403.78</f>
        <v>403.78</v>
      </c>
      <c r="C81" s="5">
        <f>1300</f>
        <v>1300</v>
      </c>
      <c r="D81" s="5">
        <f t="shared" si="8"/>
        <v>-896.22</v>
      </c>
      <c r="E81" s="5">
        <f>497.16</f>
        <v>497.16</v>
      </c>
      <c r="F81" s="5">
        <f>200</f>
        <v>200</v>
      </c>
      <c r="G81" s="5">
        <f t="shared" si="9"/>
        <v>297.16000000000003</v>
      </c>
      <c r="H81" s="5">
        <f>260.42</f>
        <v>260.42</v>
      </c>
      <c r="I81" s="5">
        <f>250</f>
        <v>250</v>
      </c>
      <c r="J81" s="5">
        <f t="shared" si="10"/>
        <v>10.420000000000016</v>
      </c>
      <c r="K81" s="5">
        <f>525.76</f>
        <v>525.76</v>
      </c>
      <c r="L81" s="5">
        <f>375</f>
        <v>375</v>
      </c>
      <c r="M81" s="5">
        <f t="shared" si="11"/>
        <v>150.76</v>
      </c>
      <c r="N81" s="5">
        <f>202.74</f>
        <v>202.74</v>
      </c>
      <c r="O81" s="5">
        <f>375</f>
        <v>375</v>
      </c>
      <c r="P81" s="5">
        <f t="shared" si="12"/>
        <v>-172.26</v>
      </c>
      <c r="Q81" s="4"/>
      <c r="R81" s="5"/>
      <c r="S81" s="5"/>
      <c r="T81" s="4"/>
      <c r="U81" s="5"/>
      <c r="V81" s="5"/>
      <c r="W81" s="4"/>
      <c r="X81" s="5"/>
      <c r="Y81" s="5"/>
      <c r="Z81" s="4"/>
      <c r="AA81" s="5"/>
      <c r="AB81" s="5"/>
      <c r="AC81" s="4"/>
      <c r="AD81" s="5"/>
      <c r="AE81" s="5"/>
      <c r="AF81" s="4"/>
      <c r="AG81" s="5"/>
      <c r="AH81" s="5"/>
      <c r="AI81" s="4"/>
      <c r="AJ81" s="5"/>
      <c r="AK81" s="5"/>
      <c r="AL81" s="5">
        <f t="shared" si="13"/>
        <v>1889.8600000000001</v>
      </c>
      <c r="AM81" s="5">
        <f t="shared" si="14"/>
        <v>2500</v>
      </c>
      <c r="AN81" s="5">
        <f t="shared" si="15"/>
        <v>-610.13999999999987</v>
      </c>
      <c r="AP81" s="5">
        <v>5650</v>
      </c>
    </row>
    <row r="82" spans="1:44" x14ac:dyDescent="0.25">
      <c r="A82" s="3" t="s">
        <v>75</v>
      </c>
      <c r="B82" s="5">
        <f>262.5</f>
        <v>262.5</v>
      </c>
      <c r="C82" s="5">
        <f>0</f>
        <v>0</v>
      </c>
      <c r="D82" s="5">
        <f t="shared" si="8"/>
        <v>262.5</v>
      </c>
      <c r="E82" s="5">
        <f>150</f>
        <v>150</v>
      </c>
      <c r="F82" s="5">
        <f>0</f>
        <v>0</v>
      </c>
      <c r="G82" s="5">
        <f t="shared" si="9"/>
        <v>150</v>
      </c>
      <c r="H82" s="4"/>
      <c r="I82" s="5">
        <f>0</f>
        <v>0</v>
      </c>
      <c r="J82" s="5">
        <f t="shared" si="10"/>
        <v>0</v>
      </c>
      <c r="K82" s="5">
        <f>913.62</f>
        <v>913.62</v>
      </c>
      <c r="L82" s="5">
        <f>0</f>
        <v>0</v>
      </c>
      <c r="M82" s="5">
        <f t="shared" si="11"/>
        <v>913.62</v>
      </c>
      <c r="N82" s="4"/>
      <c r="O82" s="5">
        <f>0</f>
        <v>0</v>
      </c>
      <c r="P82" s="5">
        <f t="shared" si="12"/>
        <v>0</v>
      </c>
      <c r="Q82" s="4"/>
      <c r="R82" s="5"/>
      <c r="S82" s="5"/>
      <c r="T82" s="4"/>
      <c r="U82" s="5"/>
      <c r="V82" s="5"/>
      <c r="W82" s="4"/>
      <c r="X82" s="5"/>
      <c r="Y82" s="5"/>
      <c r="Z82" s="4"/>
      <c r="AA82" s="5"/>
      <c r="AB82" s="5"/>
      <c r="AC82" s="4"/>
      <c r="AD82" s="5"/>
      <c r="AE82" s="5"/>
      <c r="AF82" s="4"/>
      <c r="AG82" s="5"/>
      <c r="AH82" s="5"/>
      <c r="AI82" s="4"/>
      <c r="AJ82" s="5"/>
      <c r="AK82" s="5"/>
      <c r="AL82" s="5">
        <f t="shared" si="13"/>
        <v>1326.12</v>
      </c>
      <c r="AM82" s="5">
        <f t="shared" si="14"/>
        <v>0</v>
      </c>
      <c r="AN82" s="5">
        <f t="shared" si="15"/>
        <v>1326.12</v>
      </c>
      <c r="AP82" s="5">
        <v>6000</v>
      </c>
    </row>
    <row r="83" spans="1:44" x14ac:dyDescent="0.25">
      <c r="A83" s="3" t="s">
        <v>76</v>
      </c>
      <c r="B83" s="5">
        <f>12.95</f>
        <v>12.95</v>
      </c>
      <c r="C83" s="5">
        <f>0</f>
        <v>0</v>
      </c>
      <c r="D83" s="5">
        <f t="shared" si="8"/>
        <v>12.95</v>
      </c>
      <c r="E83" s="5">
        <f>12.95</f>
        <v>12.95</v>
      </c>
      <c r="F83" s="5">
        <f>125</f>
        <v>125</v>
      </c>
      <c r="G83" s="5">
        <f t="shared" si="9"/>
        <v>-112.05</v>
      </c>
      <c r="H83" s="5">
        <f>12.95</f>
        <v>12.95</v>
      </c>
      <c r="I83" s="5">
        <f>0</f>
        <v>0</v>
      </c>
      <c r="J83" s="5">
        <f t="shared" si="10"/>
        <v>12.95</v>
      </c>
      <c r="K83" s="5">
        <f>112.95</f>
        <v>112.95</v>
      </c>
      <c r="L83" s="5">
        <f>0</f>
        <v>0</v>
      </c>
      <c r="M83" s="5">
        <f t="shared" si="11"/>
        <v>112.95</v>
      </c>
      <c r="N83" s="5">
        <f>12.95</f>
        <v>12.95</v>
      </c>
      <c r="O83" s="5">
        <f>125</f>
        <v>125</v>
      </c>
      <c r="P83" s="5">
        <f t="shared" si="12"/>
        <v>-112.05</v>
      </c>
      <c r="Q83" s="4"/>
      <c r="R83" s="5"/>
      <c r="S83" s="5"/>
      <c r="T83" s="4"/>
      <c r="U83" s="5"/>
      <c r="V83" s="5"/>
      <c r="W83" s="4"/>
      <c r="X83" s="5"/>
      <c r="Y83" s="5"/>
      <c r="Z83" s="4"/>
      <c r="AA83" s="5"/>
      <c r="AB83" s="5"/>
      <c r="AC83" s="4"/>
      <c r="AD83" s="5"/>
      <c r="AE83" s="5"/>
      <c r="AF83" s="4"/>
      <c r="AG83" s="5"/>
      <c r="AH83" s="5"/>
      <c r="AI83" s="4"/>
      <c r="AJ83" s="5"/>
      <c r="AK83" s="5"/>
      <c r="AL83" s="5">
        <f t="shared" si="13"/>
        <v>164.75</v>
      </c>
      <c r="AM83" s="5">
        <f t="shared" si="14"/>
        <v>250</v>
      </c>
      <c r="AN83" s="5">
        <f t="shared" si="15"/>
        <v>-85.25</v>
      </c>
      <c r="AP83" s="5">
        <v>500</v>
      </c>
    </row>
    <row r="84" spans="1:44" x14ac:dyDescent="0.25">
      <c r="A84" s="3" t="s">
        <v>77</v>
      </c>
      <c r="B84" s="5">
        <f>12084.54</f>
        <v>12084.54</v>
      </c>
      <c r="C84" s="5">
        <f>12084.5</f>
        <v>12084.5</v>
      </c>
      <c r="D84" s="5">
        <f t="shared" si="8"/>
        <v>4.0000000000873115E-2</v>
      </c>
      <c r="E84" s="5">
        <f>12084.54</f>
        <v>12084.54</v>
      </c>
      <c r="F84" s="5">
        <f>12084.5</f>
        <v>12084.5</v>
      </c>
      <c r="G84" s="5">
        <f t="shared" si="9"/>
        <v>4.0000000000873115E-2</v>
      </c>
      <c r="H84" s="5">
        <f>12084.54</f>
        <v>12084.54</v>
      </c>
      <c r="I84" s="5">
        <f>12084.5</f>
        <v>12084.5</v>
      </c>
      <c r="J84" s="5">
        <f t="shared" si="10"/>
        <v>4.0000000000873115E-2</v>
      </c>
      <c r="K84" s="5">
        <f>12084.49</f>
        <v>12084.49</v>
      </c>
      <c r="L84" s="5">
        <f>12084.5</f>
        <v>12084.5</v>
      </c>
      <c r="M84" s="5">
        <f t="shared" si="11"/>
        <v>-1.0000000000218279E-2</v>
      </c>
      <c r="N84" s="5">
        <f>9261.51</f>
        <v>9261.51</v>
      </c>
      <c r="O84" s="5">
        <f>12084.5</f>
        <v>12084.5</v>
      </c>
      <c r="P84" s="5">
        <f t="shared" si="12"/>
        <v>-2822.99</v>
      </c>
      <c r="Q84" s="4"/>
      <c r="R84" s="5"/>
      <c r="S84" s="5"/>
      <c r="T84" s="4"/>
      <c r="U84" s="5"/>
      <c r="V84" s="5"/>
      <c r="W84" s="4"/>
      <c r="X84" s="5"/>
      <c r="Y84" s="5"/>
      <c r="Z84" s="4"/>
      <c r="AA84" s="5"/>
      <c r="AB84" s="5"/>
      <c r="AC84" s="4"/>
      <c r="AD84" s="5"/>
      <c r="AE84" s="5"/>
      <c r="AF84" s="4"/>
      <c r="AG84" s="5"/>
      <c r="AH84" s="5"/>
      <c r="AI84" s="4"/>
      <c r="AJ84" s="5"/>
      <c r="AK84" s="5"/>
      <c r="AL84" s="5">
        <f t="shared" si="13"/>
        <v>57599.62</v>
      </c>
      <c r="AM84" s="5">
        <f t="shared" si="14"/>
        <v>60422.5</v>
      </c>
      <c r="AN84" s="5">
        <f t="shared" si="15"/>
        <v>-2822.8799999999974</v>
      </c>
      <c r="AP84" s="5">
        <v>145014</v>
      </c>
    </row>
    <row r="85" spans="1:44" x14ac:dyDescent="0.25">
      <c r="A85" s="3" t="s">
        <v>78</v>
      </c>
      <c r="B85" s="6">
        <f>(((((B79)+(B80))+(B81))+(B82))+(B83))+(B84)</f>
        <v>12763.77</v>
      </c>
      <c r="C85" s="6">
        <f>(((((C79)+(C80))+(C81))+(C82))+(C83))+(C84)</f>
        <v>13584.5</v>
      </c>
      <c r="D85" s="6">
        <f t="shared" ref="D85:D116" si="16">(B85)-(C85)</f>
        <v>-820.72999999999956</v>
      </c>
      <c r="E85" s="6">
        <f>(((((E79)+(E80))+(E81))+(E82))+(E83))+(E84)</f>
        <v>12744.650000000001</v>
      </c>
      <c r="F85" s="6">
        <f>(((((F79)+(F80))+(F81))+(F82))+(F83))+(F84)</f>
        <v>12609.5</v>
      </c>
      <c r="G85" s="6">
        <f t="shared" ref="G85:G116" si="17">(E85)-(F85)</f>
        <v>135.15000000000146</v>
      </c>
      <c r="H85" s="6">
        <f>(((((H79)+(H80))+(H81))+(H82))+(H83))+(H84)</f>
        <v>12357.910000000002</v>
      </c>
      <c r="I85" s="6">
        <f>(((((I79)+(I80))+(I81))+(I82))+(I83))+(I84)</f>
        <v>12534.5</v>
      </c>
      <c r="J85" s="6">
        <f t="shared" ref="J85:J116" si="18">(H85)-(I85)</f>
        <v>-176.58999999999833</v>
      </c>
      <c r="K85" s="6">
        <f>(((((K79)+(K80))+(K81))+(K82))+(K83))+(K84)</f>
        <v>13636.82</v>
      </c>
      <c r="L85" s="6">
        <f>(((((L79)+(L80))+(L81))+(L82))+(L83))+(L84)</f>
        <v>12659.5</v>
      </c>
      <c r="M85" s="6">
        <f t="shared" ref="M85:M116" si="19">(K85)-(L85)</f>
        <v>977.31999999999971</v>
      </c>
      <c r="N85" s="6">
        <f>(((((N79)+(N80))+(N81))+(N82))+(N83))+(N84)</f>
        <v>9477.2000000000007</v>
      </c>
      <c r="O85" s="6">
        <f>(((((O79)+(O80))+(O81))+(O82))+(O83))+(O84)</f>
        <v>12784.5</v>
      </c>
      <c r="P85" s="6">
        <f t="shared" ref="P85:P116" si="20">(N85)-(O85)</f>
        <v>-3307.2999999999993</v>
      </c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>
        <f t="shared" ref="AL85:AL116" si="21">(((((((((((B85)+(E85))+(H85))+(K85))+(N85))+(Q85))+(T85))+(W85))+(Z85))+(AC85))+(AF85))+(AI85)</f>
        <v>60980.350000000006</v>
      </c>
      <c r="AM85" s="6">
        <f t="shared" ref="AM85:AM116" si="22">(((((((((((C85)+(F85))+(I85))+(L85))+(O85))+(R85))+(U85))+(X85))+(AA85))+(AD85))+(AG85))+(AJ85)</f>
        <v>64172.5</v>
      </c>
      <c r="AN85" s="6">
        <f t="shared" ref="AN85:AN116" si="23">(AL85)-(AM85)</f>
        <v>-3192.1499999999942</v>
      </c>
      <c r="AP85" s="6">
        <v>159564</v>
      </c>
    </row>
    <row r="86" spans="1:44" x14ac:dyDescent="0.25">
      <c r="A86" s="3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P86" s="15"/>
    </row>
    <row r="87" spans="1:44" x14ac:dyDescent="0.25">
      <c r="A87" s="3" t="s">
        <v>79</v>
      </c>
      <c r="B87" s="4"/>
      <c r="C87" s="4"/>
      <c r="D87" s="5">
        <f t="shared" si="16"/>
        <v>0</v>
      </c>
      <c r="E87" s="4"/>
      <c r="F87" s="4"/>
      <c r="G87" s="5">
        <f t="shared" si="17"/>
        <v>0</v>
      </c>
      <c r="H87" s="4"/>
      <c r="I87" s="4"/>
      <c r="J87" s="5">
        <f t="shared" si="18"/>
        <v>0</v>
      </c>
      <c r="K87" s="4"/>
      <c r="L87" s="4"/>
      <c r="M87" s="5">
        <f t="shared" si="19"/>
        <v>0</v>
      </c>
      <c r="N87" s="4"/>
      <c r="O87" s="4"/>
      <c r="P87" s="5">
        <f t="shared" si="20"/>
        <v>0</v>
      </c>
      <c r="Q87" s="4"/>
      <c r="R87" s="4"/>
      <c r="S87" s="5"/>
      <c r="T87" s="4"/>
      <c r="U87" s="4"/>
      <c r="V87" s="5"/>
      <c r="W87" s="4"/>
      <c r="X87" s="4"/>
      <c r="Y87" s="5"/>
      <c r="Z87" s="4"/>
      <c r="AA87" s="4"/>
      <c r="AB87" s="5"/>
      <c r="AC87" s="4"/>
      <c r="AD87" s="4"/>
      <c r="AE87" s="5"/>
      <c r="AF87" s="4"/>
      <c r="AG87" s="4"/>
      <c r="AH87" s="5"/>
      <c r="AI87" s="4"/>
      <c r="AJ87" s="4"/>
      <c r="AK87" s="5"/>
      <c r="AL87" s="5">
        <f t="shared" si="21"/>
        <v>0</v>
      </c>
      <c r="AM87" s="5">
        <f t="shared" si="22"/>
        <v>0</v>
      </c>
      <c r="AN87" s="5">
        <f t="shared" si="23"/>
        <v>0</v>
      </c>
      <c r="AP87" s="5">
        <v>0</v>
      </c>
    </row>
    <row r="88" spans="1:44" x14ac:dyDescent="0.25">
      <c r="A88" s="3" t="s">
        <v>80</v>
      </c>
      <c r="B88" s="5">
        <f>1575</f>
        <v>1575</v>
      </c>
      <c r="C88" s="5">
        <f>1400</f>
        <v>1400</v>
      </c>
      <c r="D88" s="5">
        <f t="shared" si="16"/>
        <v>175</v>
      </c>
      <c r="E88" s="5">
        <f>1165</f>
        <v>1165</v>
      </c>
      <c r="F88" s="5">
        <f>1400</f>
        <v>1400</v>
      </c>
      <c r="G88" s="5">
        <f t="shared" si="17"/>
        <v>-235</v>
      </c>
      <c r="H88" s="5">
        <f>1125</f>
        <v>1125</v>
      </c>
      <c r="I88" s="5">
        <f>1300</f>
        <v>1300</v>
      </c>
      <c r="J88" s="5">
        <f t="shared" si="18"/>
        <v>-175</v>
      </c>
      <c r="K88" s="5">
        <f>775</f>
        <v>775</v>
      </c>
      <c r="L88" s="5">
        <f>1300</f>
        <v>1300</v>
      </c>
      <c r="M88" s="5">
        <f t="shared" si="19"/>
        <v>-525</v>
      </c>
      <c r="N88" s="5">
        <f>2550</f>
        <v>2550</v>
      </c>
      <c r="O88" s="5">
        <f>1300</f>
        <v>1300</v>
      </c>
      <c r="P88" s="5">
        <f t="shared" si="20"/>
        <v>1250</v>
      </c>
      <c r="Q88" s="4"/>
      <c r="R88" s="5"/>
      <c r="S88" s="5"/>
      <c r="T88" s="4"/>
      <c r="U88" s="5"/>
      <c r="V88" s="5"/>
      <c r="W88" s="4"/>
      <c r="X88" s="5"/>
      <c r="Y88" s="5"/>
      <c r="Z88" s="4"/>
      <c r="AA88" s="5"/>
      <c r="AB88" s="5"/>
      <c r="AC88" s="4"/>
      <c r="AD88" s="5"/>
      <c r="AE88" s="5"/>
      <c r="AF88" s="4"/>
      <c r="AG88" s="5"/>
      <c r="AH88" s="5"/>
      <c r="AI88" s="4"/>
      <c r="AJ88" s="5"/>
      <c r="AK88" s="5"/>
      <c r="AL88" s="5">
        <f t="shared" si="21"/>
        <v>7190</v>
      </c>
      <c r="AM88" s="5">
        <f t="shared" si="22"/>
        <v>6700</v>
      </c>
      <c r="AN88" s="5">
        <f t="shared" si="23"/>
        <v>490</v>
      </c>
      <c r="AP88" s="5">
        <v>16000</v>
      </c>
    </row>
    <row r="89" spans="1:44" x14ac:dyDescent="0.25">
      <c r="A89" s="3" t="s">
        <v>81</v>
      </c>
      <c r="B89" s="4"/>
      <c r="C89" s="5">
        <f>0</f>
        <v>0</v>
      </c>
      <c r="D89" s="5">
        <f t="shared" si="16"/>
        <v>0</v>
      </c>
      <c r="E89" s="4"/>
      <c r="F89" s="5">
        <f>0</f>
        <v>0</v>
      </c>
      <c r="G89" s="5">
        <f t="shared" si="17"/>
        <v>0</v>
      </c>
      <c r="H89" s="4"/>
      <c r="I89" s="5">
        <f>0</f>
        <v>0</v>
      </c>
      <c r="J89" s="5">
        <f t="shared" si="18"/>
        <v>0</v>
      </c>
      <c r="K89" s="4"/>
      <c r="L89" s="5">
        <f>3500</f>
        <v>3500</v>
      </c>
      <c r="M89" s="5">
        <f t="shared" si="19"/>
        <v>-3500</v>
      </c>
      <c r="N89" s="4"/>
      <c r="O89" s="5">
        <f>0</f>
        <v>0</v>
      </c>
      <c r="P89" s="5">
        <f t="shared" si="20"/>
        <v>0</v>
      </c>
      <c r="Q89" s="4"/>
      <c r="R89" s="5"/>
      <c r="S89" s="5"/>
      <c r="T89" s="4"/>
      <c r="U89" s="5"/>
      <c r="V89" s="5"/>
      <c r="W89" s="4"/>
      <c r="X89" s="5"/>
      <c r="Y89" s="5"/>
      <c r="Z89" s="4"/>
      <c r="AA89" s="5"/>
      <c r="AB89" s="5"/>
      <c r="AC89" s="4"/>
      <c r="AD89" s="5"/>
      <c r="AE89" s="5"/>
      <c r="AF89" s="4"/>
      <c r="AG89" s="5"/>
      <c r="AH89" s="5"/>
      <c r="AI89" s="4"/>
      <c r="AJ89" s="5"/>
      <c r="AK89" s="5"/>
      <c r="AL89" s="5">
        <f t="shared" si="21"/>
        <v>0</v>
      </c>
      <c r="AM89" s="5">
        <f t="shared" si="22"/>
        <v>3500</v>
      </c>
      <c r="AN89" s="5">
        <f t="shared" si="23"/>
        <v>-3500</v>
      </c>
      <c r="AP89" s="5">
        <v>3500</v>
      </c>
      <c r="AR89" s="10" t="s">
        <v>140</v>
      </c>
    </row>
    <row r="90" spans="1:44" x14ac:dyDescent="0.25">
      <c r="A90" s="3" t="s">
        <v>82</v>
      </c>
      <c r="B90" s="4"/>
      <c r="C90" s="5">
        <f>0</f>
        <v>0</v>
      </c>
      <c r="D90" s="5">
        <f t="shared" si="16"/>
        <v>0</v>
      </c>
      <c r="E90" s="4"/>
      <c r="F90" s="5">
        <f>0</f>
        <v>0</v>
      </c>
      <c r="G90" s="5">
        <f t="shared" si="17"/>
        <v>0</v>
      </c>
      <c r="H90" s="5">
        <f>473.01</f>
        <v>473.01</v>
      </c>
      <c r="I90" s="5">
        <f>100</f>
        <v>100</v>
      </c>
      <c r="J90" s="5">
        <f t="shared" si="18"/>
        <v>373.01</v>
      </c>
      <c r="K90" s="4"/>
      <c r="L90" s="5">
        <f>1300</f>
        <v>1300</v>
      </c>
      <c r="M90" s="5">
        <f t="shared" si="19"/>
        <v>-1300</v>
      </c>
      <c r="N90" s="4"/>
      <c r="O90" s="5">
        <f>0</f>
        <v>0</v>
      </c>
      <c r="P90" s="5">
        <f t="shared" si="20"/>
        <v>0</v>
      </c>
      <c r="Q90" s="4"/>
      <c r="R90" s="5"/>
      <c r="S90" s="5"/>
      <c r="T90" s="4"/>
      <c r="U90" s="5"/>
      <c r="V90" s="5"/>
      <c r="W90" s="4"/>
      <c r="X90" s="5"/>
      <c r="Y90" s="5"/>
      <c r="Z90" s="4"/>
      <c r="AA90" s="5"/>
      <c r="AB90" s="5"/>
      <c r="AC90" s="4"/>
      <c r="AD90" s="5"/>
      <c r="AE90" s="5"/>
      <c r="AF90" s="4"/>
      <c r="AG90" s="5"/>
      <c r="AH90" s="5"/>
      <c r="AI90" s="4"/>
      <c r="AJ90" s="5"/>
      <c r="AK90" s="5"/>
      <c r="AL90" s="5">
        <f t="shared" si="21"/>
        <v>473.01</v>
      </c>
      <c r="AM90" s="5">
        <f t="shared" si="22"/>
        <v>1400</v>
      </c>
      <c r="AN90" s="5">
        <f t="shared" si="23"/>
        <v>-926.99</v>
      </c>
      <c r="AP90" s="5">
        <v>2500</v>
      </c>
    </row>
    <row r="91" spans="1:44" x14ac:dyDescent="0.25">
      <c r="A91" s="3" t="s">
        <v>83</v>
      </c>
      <c r="B91" s="4"/>
      <c r="C91" s="5">
        <f>0</f>
        <v>0</v>
      </c>
      <c r="D91" s="5">
        <f t="shared" si="16"/>
        <v>0</v>
      </c>
      <c r="E91" s="4"/>
      <c r="F91" s="5">
        <f>1000</f>
        <v>1000</v>
      </c>
      <c r="G91" s="5">
        <f t="shared" si="17"/>
        <v>-1000</v>
      </c>
      <c r="H91" s="4"/>
      <c r="I91" s="5">
        <f>0</f>
        <v>0</v>
      </c>
      <c r="J91" s="5">
        <f t="shared" si="18"/>
        <v>0</v>
      </c>
      <c r="K91" s="5">
        <f>1489.01</f>
        <v>1489.01</v>
      </c>
      <c r="L91" s="5">
        <f>0</f>
        <v>0</v>
      </c>
      <c r="M91" s="5">
        <f t="shared" si="19"/>
        <v>1489.01</v>
      </c>
      <c r="N91" s="5">
        <f>355</f>
        <v>355</v>
      </c>
      <c r="O91" s="5">
        <f>0</f>
        <v>0</v>
      </c>
      <c r="P91" s="5">
        <f t="shared" si="20"/>
        <v>355</v>
      </c>
      <c r="Q91" s="4"/>
      <c r="R91" s="5"/>
      <c r="S91" s="5"/>
      <c r="T91" s="4"/>
      <c r="U91" s="5"/>
      <c r="V91" s="5"/>
      <c r="W91" s="4"/>
      <c r="X91" s="5"/>
      <c r="Y91" s="5"/>
      <c r="Z91" s="4"/>
      <c r="AA91" s="5"/>
      <c r="AB91" s="5"/>
      <c r="AC91" s="4"/>
      <c r="AD91" s="5"/>
      <c r="AE91" s="5"/>
      <c r="AF91" s="4"/>
      <c r="AG91" s="5"/>
      <c r="AH91" s="5"/>
      <c r="AI91" s="4"/>
      <c r="AJ91" s="5"/>
      <c r="AK91" s="5"/>
      <c r="AL91" s="5">
        <f t="shared" si="21"/>
        <v>1844.01</v>
      </c>
      <c r="AM91" s="5">
        <f t="shared" si="22"/>
        <v>1000</v>
      </c>
      <c r="AN91" s="5">
        <f t="shared" si="23"/>
        <v>844.01</v>
      </c>
      <c r="AP91" s="5">
        <v>3000</v>
      </c>
    </row>
    <row r="92" spans="1:44" x14ac:dyDescent="0.25">
      <c r="A92" s="3" t="s">
        <v>84</v>
      </c>
      <c r="B92" s="5">
        <f>79.77</f>
        <v>79.77</v>
      </c>
      <c r="C92" s="5">
        <f>170</f>
        <v>170</v>
      </c>
      <c r="D92" s="5">
        <f t="shared" si="16"/>
        <v>-90.23</v>
      </c>
      <c r="E92" s="5">
        <f>85.95</f>
        <v>85.95</v>
      </c>
      <c r="F92" s="5">
        <f>80</f>
        <v>80</v>
      </c>
      <c r="G92" s="5">
        <f t="shared" si="17"/>
        <v>5.9500000000000028</v>
      </c>
      <c r="H92" s="5">
        <f>193.57</f>
        <v>193.57</v>
      </c>
      <c r="I92" s="5">
        <f>80</f>
        <v>80</v>
      </c>
      <c r="J92" s="5">
        <f t="shared" si="18"/>
        <v>113.57</v>
      </c>
      <c r="K92" s="5">
        <f>154.03</f>
        <v>154.03</v>
      </c>
      <c r="L92" s="5">
        <f>130</f>
        <v>130</v>
      </c>
      <c r="M92" s="5">
        <f t="shared" si="19"/>
        <v>24.03</v>
      </c>
      <c r="N92" s="5">
        <f>600.16</f>
        <v>600.16</v>
      </c>
      <c r="O92" s="5">
        <f>1100</f>
        <v>1100</v>
      </c>
      <c r="P92" s="5">
        <f t="shared" si="20"/>
        <v>-499.84000000000003</v>
      </c>
      <c r="Q92" s="5"/>
      <c r="R92" s="5"/>
      <c r="S92" s="5"/>
      <c r="T92" s="4"/>
      <c r="U92" s="5"/>
      <c r="V92" s="5"/>
      <c r="W92" s="4"/>
      <c r="X92" s="5"/>
      <c r="Y92" s="5"/>
      <c r="Z92" s="4"/>
      <c r="AA92" s="5"/>
      <c r="AB92" s="5"/>
      <c r="AC92" s="4"/>
      <c r="AD92" s="5"/>
      <c r="AE92" s="5"/>
      <c r="AF92" s="4"/>
      <c r="AG92" s="5"/>
      <c r="AH92" s="5"/>
      <c r="AI92" s="4"/>
      <c r="AJ92" s="5"/>
      <c r="AK92" s="5"/>
      <c r="AL92" s="5">
        <f t="shared" si="21"/>
        <v>1113.48</v>
      </c>
      <c r="AM92" s="5">
        <f t="shared" si="22"/>
        <v>1560</v>
      </c>
      <c r="AN92" s="5">
        <f t="shared" si="23"/>
        <v>-446.52</v>
      </c>
      <c r="AP92" s="5">
        <v>2500</v>
      </c>
    </row>
    <row r="93" spans="1:44" x14ac:dyDescent="0.25">
      <c r="A93" s="3" t="s">
        <v>85</v>
      </c>
      <c r="B93" s="5">
        <f>86.96</f>
        <v>86.96</v>
      </c>
      <c r="C93" s="5">
        <f>385</f>
        <v>385</v>
      </c>
      <c r="D93" s="5">
        <f t="shared" si="16"/>
        <v>-298.04000000000002</v>
      </c>
      <c r="E93" s="5">
        <f>60</f>
        <v>60</v>
      </c>
      <c r="F93" s="5">
        <f>135</f>
        <v>135</v>
      </c>
      <c r="G93" s="5">
        <f t="shared" si="17"/>
        <v>-75</v>
      </c>
      <c r="H93" s="5">
        <f>1260</f>
        <v>1260</v>
      </c>
      <c r="I93" s="5">
        <f>1300</f>
        <v>1300</v>
      </c>
      <c r="J93" s="5">
        <f t="shared" si="18"/>
        <v>-40</v>
      </c>
      <c r="K93" s="5">
        <f>60</f>
        <v>60</v>
      </c>
      <c r="L93" s="5">
        <f>150</f>
        <v>150</v>
      </c>
      <c r="M93" s="5">
        <f t="shared" si="19"/>
        <v>-90</v>
      </c>
      <c r="N93" s="5">
        <f>110.46</f>
        <v>110.46</v>
      </c>
      <c r="O93" s="5">
        <f>50</f>
        <v>50</v>
      </c>
      <c r="P93" s="5">
        <f t="shared" si="20"/>
        <v>60.459999999999994</v>
      </c>
      <c r="Q93" s="4"/>
      <c r="R93" s="5"/>
      <c r="S93" s="5"/>
      <c r="T93" s="4"/>
      <c r="U93" s="5"/>
      <c r="V93" s="5"/>
      <c r="W93" s="4"/>
      <c r="X93" s="5"/>
      <c r="Y93" s="5"/>
      <c r="Z93" s="4"/>
      <c r="AA93" s="5"/>
      <c r="AB93" s="5"/>
      <c r="AC93" s="4"/>
      <c r="AD93" s="5"/>
      <c r="AE93" s="5"/>
      <c r="AF93" s="4"/>
      <c r="AG93" s="5"/>
      <c r="AH93" s="5"/>
      <c r="AI93" s="4"/>
      <c r="AJ93" s="5"/>
      <c r="AK93" s="5"/>
      <c r="AL93" s="5">
        <f t="shared" si="21"/>
        <v>1577.42</v>
      </c>
      <c r="AM93" s="5">
        <f t="shared" si="22"/>
        <v>2020</v>
      </c>
      <c r="AN93" s="5">
        <f t="shared" si="23"/>
        <v>-442.57999999999993</v>
      </c>
      <c r="AP93" s="5">
        <v>4500</v>
      </c>
    </row>
    <row r="94" spans="1:44" x14ac:dyDescent="0.25">
      <c r="A94" s="3" t="s">
        <v>86</v>
      </c>
      <c r="B94" s="4"/>
      <c r="C94" s="5">
        <f>0</f>
        <v>0</v>
      </c>
      <c r="D94" s="5">
        <f t="shared" si="16"/>
        <v>0</v>
      </c>
      <c r="E94" s="4"/>
      <c r="F94" s="5">
        <f>0</f>
        <v>0</v>
      </c>
      <c r="G94" s="5">
        <f t="shared" si="17"/>
        <v>0</v>
      </c>
      <c r="H94" s="4"/>
      <c r="I94" s="5">
        <f>100</f>
        <v>100</v>
      </c>
      <c r="J94" s="5">
        <f t="shared" si="18"/>
        <v>-100</v>
      </c>
      <c r="K94" s="4"/>
      <c r="L94" s="5">
        <f>0</f>
        <v>0</v>
      </c>
      <c r="M94" s="5">
        <f t="shared" si="19"/>
        <v>0</v>
      </c>
      <c r="N94" s="4"/>
      <c r="O94" s="5">
        <f>0</f>
        <v>0</v>
      </c>
      <c r="P94" s="5">
        <f t="shared" si="20"/>
        <v>0</v>
      </c>
      <c r="Q94" s="4"/>
      <c r="R94" s="5"/>
      <c r="S94" s="5"/>
      <c r="T94" s="4"/>
      <c r="U94" s="5"/>
      <c r="V94" s="5"/>
      <c r="W94" s="4"/>
      <c r="X94" s="5"/>
      <c r="Y94" s="5"/>
      <c r="Z94" s="4"/>
      <c r="AA94" s="5"/>
      <c r="AB94" s="5"/>
      <c r="AC94" s="4"/>
      <c r="AD94" s="5"/>
      <c r="AE94" s="5"/>
      <c r="AF94" s="4"/>
      <c r="AG94" s="5"/>
      <c r="AH94" s="5"/>
      <c r="AI94" s="4"/>
      <c r="AJ94" s="5"/>
      <c r="AK94" s="5"/>
      <c r="AL94" s="5">
        <f t="shared" si="21"/>
        <v>0</v>
      </c>
      <c r="AM94" s="5">
        <f t="shared" si="22"/>
        <v>100</v>
      </c>
      <c r="AN94" s="5">
        <f t="shared" si="23"/>
        <v>-100</v>
      </c>
      <c r="AP94" s="5">
        <v>100</v>
      </c>
    </row>
    <row r="95" spans="1:44" x14ac:dyDescent="0.25">
      <c r="A95" s="3" t="s">
        <v>87</v>
      </c>
      <c r="B95" s="5">
        <f>99</f>
        <v>99</v>
      </c>
      <c r="C95" s="5">
        <f>0</f>
        <v>0</v>
      </c>
      <c r="D95" s="5">
        <f t="shared" si="16"/>
        <v>99</v>
      </c>
      <c r="E95" s="4"/>
      <c r="F95" s="5">
        <f>0</f>
        <v>0</v>
      </c>
      <c r="G95" s="5">
        <f t="shared" si="17"/>
        <v>0</v>
      </c>
      <c r="H95" s="4"/>
      <c r="I95" s="5">
        <f>0</f>
        <v>0</v>
      </c>
      <c r="J95" s="5">
        <f t="shared" si="18"/>
        <v>0</v>
      </c>
      <c r="K95" s="4"/>
      <c r="L95" s="5">
        <f>0</f>
        <v>0</v>
      </c>
      <c r="M95" s="5">
        <f t="shared" si="19"/>
        <v>0</v>
      </c>
      <c r="N95" s="4"/>
      <c r="O95" s="5">
        <f>0</f>
        <v>0</v>
      </c>
      <c r="P95" s="5">
        <f t="shared" si="20"/>
        <v>0</v>
      </c>
      <c r="Q95" s="4"/>
      <c r="R95" s="5"/>
      <c r="S95" s="5"/>
      <c r="T95" s="4"/>
      <c r="U95" s="5"/>
      <c r="V95" s="5"/>
      <c r="W95" s="4"/>
      <c r="X95" s="5"/>
      <c r="Y95" s="5"/>
      <c r="Z95" s="4"/>
      <c r="AA95" s="5"/>
      <c r="AB95" s="5"/>
      <c r="AC95" s="4"/>
      <c r="AD95" s="5"/>
      <c r="AE95" s="5"/>
      <c r="AF95" s="4"/>
      <c r="AG95" s="5"/>
      <c r="AH95" s="5"/>
      <c r="AI95" s="4"/>
      <c r="AJ95" s="5"/>
      <c r="AK95" s="5"/>
      <c r="AL95" s="5">
        <f t="shared" si="21"/>
        <v>99</v>
      </c>
      <c r="AM95" s="5">
        <f t="shared" si="22"/>
        <v>0</v>
      </c>
      <c r="AN95" s="5">
        <f t="shared" si="23"/>
        <v>99</v>
      </c>
      <c r="AP95" s="5">
        <v>4000</v>
      </c>
    </row>
    <row r="96" spans="1:44" x14ac:dyDescent="0.25">
      <c r="A96" s="3" t="s">
        <v>88</v>
      </c>
      <c r="B96" s="5">
        <f>4</f>
        <v>4</v>
      </c>
      <c r="C96" s="5">
        <f>0</f>
        <v>0</v>
      </c>
      <c r="D96" s="5">
        <f t="shared" si="16"/>
        <v>4</v>
      </c>
      <c r="E96" s="4"/>
      <c r="F96" s="5">
        <f>0</f>
        <v>0</v>
      </c>
      <c r="G96" s="5">
        <f t="shared" si="17"/>
        <v>0</v>
      </c>
      <c r="H96" s="4"/>
      <c r="I96" s="5">
        <f>0</f>
        <v>0</v>
      </c>
      <c r="J96" s="5">
        <f t="shared" si="18"/>
        <v>0</v>
      </c>
      <c r="K96" s="4"/>
      <c r="L96" s="5">
        <f>35</f>
        <v>35</v>
      </c>
      <c r="M96" s="5">
        <f t="shared" si="19"/>
        <v>-35</v>
      </c>
      <c r="N96" s="4"/>
      <c r="O96" s="5">
        <f>0</f>
        <v>0</v>
      </c>
      <c r="P96" s="5">
        <f t="shared" si="20"/>
        <v>0</v>
      </c>
      <c r="Q96" s="4"/>
      <c r="R96" s="5"/>
      <c r="S96" s="5"/>
      <c r="T96" s="4"/>
      <c r="U96" s="5"/>
      <c r="V96" s="5"/>
      <c r="W96" s="4"/>
      <c r="X96" s="5"/>
      <c r="Y96" s="5"/>
      <c r="Z96" s="4"/>
      <c r="AA96" s="5"/>
      <c r="AB96" s="5"/>
      <c r="AC96" s="4"/>
      <c r="AD96" s="5"/>
      <c r="AE96" s="5"/>
      <c r="AF96" s="4"/>
      <c r="AG96" s="5"/>
      <c r="AH96" s="5"/>
      <c r="AI96" s="4"/>
      <c r="AJ96" s="5"/>
      <c r="AK96" s="5"/>
      <c r="AL96" s="5">
        <f t="shared" si="21"/>
        <v>4</v>
      </c>
      <c r="AM96" s="5">
        <f t="shared" si="22"/>
        <v>35</v>
      </c>
      <c r="AN96" s="5">
        <f t="shared" si="23"/>
        <v>-31</v>
      </c>
      <c r="AP96" s="5">
        <v>35</v>
      </c>
    </row>
    <row r="97" spans="1:44" x14ac:dyDescent="0.25">
      <c r="A97" s="3" t="s">
        <v>89</v>
      </c>
      <c r="B97" s="5">
        <f>255.17</f>
        <v>255.17</v>
      </c>
      <c r="C97" s="5">
        <f>200</f>
        <v>200</v>
      </c>
      <c r="D97" s="5">
        <f t="shared" si="16"/>
        <v>55.169999999999987</v>
      </c>
      <c r="E97" s="5">
        <f>105.06</f>
        <v>105.06</v>
      </c>
      <c r="F97" s="5">
        <f>110</f>
        <v>110</v>
      </c>
      <c r="G97" s="5">
        <f t="shared" si="17"/>
        <v>-4.9399999999999977</v>
      </c>
      <c r="H97" s="5">
        <f>105.06</f>
        <v>105.06</v>
      </c>
      <c r="I97" s="5">
        <f>110</f>
        <v>110</v>
      </c>
      <c r="J97" s="5">
        <f t="shared" si="18"/>
        <v>-4.9399999999999977</v>
      </c>
      <c r="K97" s="5">
        <f>41.32</f>
        <v>41.32</v>
      </c>
      <c r="L97" s="5">
        <f>110</f>
        <v>110</v>
      </c>
      <c r="M97" s="5">
        <f t="shared" si="19"/>
        <v>-68.680000000000007</v>
      </c>
      <c r="N97" s="5">
        <f>103.06</f>
        <v>103.06</v>
      </c>
      <c r="O97" s="5">
        <f>110</f>
        <v>110</v>
      </c>
      <c r="P97" s="5">
        <f t="shared" si="20"/>
        <v>-6.9399999999999977</v>
      </c>
      <c r="Q97" s="4"/>
      <c r="R97" s="5"/>
      <c r="S97" s="5"/>
      <c r="T97" s="4"/>
      <c r="U97" s="5"/>
      <c r="V97" s="5"/>
      <c r="W97" s="4"/>
      <c r="X97" s="5"/>
      <c r="Y97" s="5"/>
      <c r="Z97" s="4"/>
      <c r="AA97" s="5"/>
      <c r="AB97" s="5"/>
      <c r="AC97" s="4"/>
      <c r="AD97" s="5"/>
      <c r="AE97" s="5"/>
      <c r="AF97" s="4"/>
      <c r="AG97" s="5"/>
      <c r="AH97" s="5"/>
      <c r="AI97" s="4"/>
      <c r="AJ97" s="5"/>
      <c r="AK97" s="5"/>
      <c r="AL97" s="5">
        <f t="shared" si="21"/>
        <v>609.67000000000007</v>
      </c>
      <c r="AM97" s="5">
        <f t="shared" si="22"/>
        <v>640</v>
      </c>
      <c r="AN97" s="5">
        <f t="shared" si="23"/>
        <v>-30.329999999999927</v>
      </c>
      <c r="AP97" s="5">
        <v>1435</v>
      </c>
    </row>
    <row r="98" spans="1:44" x14ac:dyDescent="0.25">
      <c r="A98" s="3" t="s">
        <v>90</v>
      </c>
      <c r="B98" s="4"/>
      <c r="C98" s="5">
        <f>0</f>
        <v>0</v>
      </c>
      <c r="D98" s="5">
        <f t="shared" si="16"/>
        <v>0</v>
      </c>
      <c r="E98" s="5">
        <f>26.4</f>
        <v>26.4</v>
      </c>
      <c r="F98" s="5">
        <f>0</f>
        <v>0</v>
      </c>
      <c r="G98" s="5">
        <f t="shared" si="17"/>
        <v>26.4</v>
      </c>
      <c r="H98" s="5">
        <f>17.15</f>
        <v>17.149999999999999</v>
      </c>
      <c r="I98" s="5">
        <f>350</f>
        <v>350</v>
      </c>
      <c r="J98" s="5">
        <f t="shared" si="18"/>
        <v>-332.85</v>
      </c>
      <c r="K98" s="4"/>
      <c r="L98" s="5">
        <f>0</f>
        <v>0</v>
      </c>
      <c r="M98" s="5">
        <f t="shared" si="19"/>
        <v>0</v>
      </c>
      <c r="N98" s="5">
        <f>12.6</f>
        <v>12.6</v>
      </c>
      <c r="O98" s="5">
        <f>0</f>
        <v>0</v>
      </c>
      <c r="P98" s="5">
        <f t="shared" si="20"/>
        <v>12.6</v>
      </c>
      <c r="Q98" s="4"/>
      <c r="R98" s="5"/>
      <c r="S98" s="5"/>
      <c r="T98" s="4"/>
      <c r="U98" s="5"/>
      <c r="V98" s="5"/>
      <c r="W98" s="4"/>
      <c r="X98" s="5"/>
      <c r="Y98" s="5"/>
      <c r="Z98" s="4"/>
      <c r="AA98" s="5"/>
      <c r="AB98" s="5"/>
      <c r="AC98" s="4"/>
      <c r="AD98" s="5"/>
      <c r="AE98" s="5"/>
      <c r="AF98" s="4"/>
      <c r="AG98" s="5"/>
      <c r="AH98" s="5"/>
      <c r="AI98" s="4"/>
      <c r="AJ98" s="5"/>
      <c r="AK98" s="5"/>
      <c r="AL98" s="5">
        <f t="shared" si="21"/>
        <v>56.15</v>
      </c>
      <c r="AM98" s="5">
        <f t="shared" si="22"/>
        <v>350</v>
      </c>
      <c r="AN98" s="5">
        <f t="shared" si="23"/>
        <v>-293.85000000000002</v>
      </c>
      <c r="AP98" s="5">
        <v>350</v>
      </c>
    </row>
    <row r="99" spans="1:44" x14ac:dyDescent="0.25">
      <c r="A99" s="3" t="s">
        <v>91</v>
      </c>
      <c r="B99" s="5">
        <f>845</f>
        <v>845</v>
      </c>
      <c r="C99" s="5">
        <f>250</f>
        <v>250</v>
      </c>
      <c r="D99" s="5">
        <f t="shared" si="16"/>
        <v>595</v>
      </c>
      <c r="E99" s="5">
        <f>1012.5</f>
        <v>1012.5</v>
      </c>
      <c r="F99" s="5">
        <f>250</f>
        <v>250</v>
      </c>
      <c r="G99" s="5">
        <f t="shared" si="17"/>
        <v>762.5</v>
      </c>
      <c r="H99" s="5">
        <f>450</f>
        <v>450</v>
      </c>
      <c r="I99" s="5">
        <f>250</f>
        <v>250</v>
      </c>
      <c r="J99" s="5">
        <f t="shared" si="18"/>
        <v>200</v>
      </c>
      <c r="K99" s="5">
        <f>907.5</f>
        <v>907.5</v>
      </c>
      <c r="L99" s="5">
        <f>250</f>
        <v>250</v>
      </c>
      <c r="M99" s="5">
        <f t="shared" si="19"/>
        <v>657.5</v>
      </c>
      <c r="N99" s="4"/>
      <c r="O99" s="5">
        <f>250</f>
        <v>250</v>
      </c>
      <c r="P99" s="5">
        <f t="shared" si="20"/>
        <v>-250</v>
      </c>
      <c r="Q99" s="4"/>
      <c r="R99" s="5"/>
      <c r="S99" s="5"/>
      <c r="T99" s="4"/>
      <c r="U99" s="5"/>
      <c r="V99" s="5"/>
      <c r="W99" s="4"/>
      <c r="X99" s="5"/>
      <c r="Y99" s="5"/>
      <c r="Z99" s="4"/>
      <c r="AA99" s="5"/>
      <c r="AB99" s="5"/>
      <c r="AC99" s="4"/>
      <c r="AD99" s="5"/>
      <c r="AE99" s="5"/>
      <c r="AF99" s="4"/>
      <c r="AG99" s="5"/>
      <c r="AH99" s="5"/>
      <c r="AI99" s="4"/>
      <c r="AJ99" s="5"/>
      <c r="AK99" s="5"/>
      <c r="AL99" s="5">
        <f t="shared" si="21"/>
        <v>3215</v>
      </c>
      <c r="AM99" s="5">
        <f t="shared" si="22"/>
        <v>1250</v>
      </c>
      <c r="AN99" s="5">
        <f t="shared" si="23"/>
        <v>1965</v>
      </c>
      <c r="AP99" s="5">
        <v>3000</v>
      </c>
      <c r="AR99" s="10" t="s">
        <v>141</v>
      </c>
    </row>
    <row r="100" spans="1:44" x14ac:dyDescent="0.25">
      <c r="A100" s="3" t="s">
        <v>92</v>
      </c>
      <c r="B100" s="5">
        <f>2971.3</f>
        <v>2971.3</v>
      </c>
      <c r="C100" s="5">
        <f>2971.3</f>
        <v>2971.3</v>
      </c>
      <c r="D100" s="5">
        <f t="shared" si="16"/>
        <v>0</v>
      </c>
      <c r="E100" s="5">
        <f>2971.31</f>
        <v>2971.31</v>
      </c>
      <c r="F100" s="5">
        <f>2971.3</f>
        <v>2971.3</v>
      </c>
      <c r="G100" s="5">
        <f t="shared" si="17"/>
        <v>9.9999999997635314E-3</v>
      </c>
      <c r="H100" s="5">
        <f>2971.31</f>
        <v>2971.31</v>
      </c>
      <c r="I100" s="5">
        <f>2971.3</f>
        <v>2971.3</v>
      </c>
      <c r="J100" s="5">
        <f t="shared" si="18"/>
        <v>9.9999999997635314E-3</v>
      </c>
      <c r="K100" s="5">
        <f>2971.29</f>
        <v>2971.29</v>
      </c>
      <c r="L100" s="5">
        <f>2971.3</f>
        <v>2971.3</v>
      </c>
      <c r="M100" s="5">
        <f t="shared" si="19"/>
        <v>-1.0000000000218279E-2</v>
      </c>
      <c r="N100" s="5">
        <f>3087.17</f>
        <v>3087.17</v>
      </c>
      <c r="O100" s="5">
        <f>2971.3</f>
        <v>2971.3</v>
      </c>
      <c r="P100" s="5">
        <f t="shared" si="20"/>
        <v>115.86999999999989</v>
      </c>
      <c r="Q100" s="4"/>
      <c r="R100" s="5"/>
      <c r="S100" s="5"/>
      <c r="T100" s="4"/>
      <c r="U100" s="5"/>
      <c r="V100" s="5"/>
      <c r="W100" s="4"/>
      <c r="X100" s="5"/>
      <c r="Y100" s="5"/>
      <c r="Z100" s="4"/>
      <c r="AA100" s="5"/>
      <c r="AB100" s="5"/>
      <c r="AC100" s="4"/>
      <c r="AD100" s="5"/>
      <c r="AE100" s="5"/>
      <c r="AF100" s="4"/>
      <c r="AG100" s="5"/>
      <c r="AH100" s="5"/>
      <c r="AI100" s="4"/>
      <c r="AJ100" s="5"/>
      <c r="AK100" s="5"/>
      <c r="AL100" s="5">
        <f t="shared" si="21"/>
        <v>14972.38</v>
      </c>
      <c r="AM100" s="5">
        <f t="shared" si="22"/>
        <v>14856.5</v>
      </c>
      <c r="AN100" s="5">
        <f t="shared" si="23"/>
        <v>115.8799999999992</v>
      </c>
      <c r="AP100" s="5">
        <v>35655.599999999999</v>
      </c>
    </row>
    <row r="101" spans="1:44" x14ac:dyDescent="0.25">
      <c r="A101" s="3" t="s">
        <v>93</v>
      </c>
      <c r="B101" s="5">
        <f>65.55</f>
        <v>65.55</v>
      </c>
      <c r="C101" s="5">
        <f>50</f>
        <v>50</v>
      </c>
      <c r="D101" s="5">
        <f t="shared" si="16"/>
        <v>15.549999999999997</v>
      </c>
      <c r="E101" s="5">
        <f>176.67</f>
        <v>176.67</v>
      </c>
      <c r="F101" s="5">
        <f>50</f>
        <v>50</v>
      </c>
      <c r="G101" s="5">
        <f t="shared" si="17"/>
        <v>126.66999999999999</v>
      </c>
      <c r="H101" s="5">
        <f>-8.91</f>
        <v>-8.91</v>
      </c>
      <c r="I101" s="5">
        <f>50</f>
        <v>50</v>
      </c>
      <c r="J101" s="5">
        <f t="shared" si="18"/>
        <v>-58.91</v>
      </c>
      <c r="K101" s="5">
        <f>13.93</f>
        <v>13.93</v>
      </c>
      <c r="L101" s="5">
        <f>50</f>
        <v>50</v>
      </c>
      <c r="M101" s="5">
        <f t="shared" si="19"/>
        <v>-36.07</v>
      </c>
      <c r="N101" s="4"/>
      <c r="O101" s="5">
        <f>50</f>
        <v>50</v>
      </c>
      <c r="P101" s="5">
        <f t="shared" si="20"/>
        <v>-50</v>
      </c>
      <c r="Q101" s="4"/>
      <c r="R101" s="5"/>
      <c r="S101" s="5"/>
      <c r="T101" s="4"/>
      <c r="U101" s="5"/>
      <c r="V101" s="5"/>
      <c r="W101" s="4"/>
      <c r="X101" s="5"/>
      <c r="Y101" s="5"/>
      <c r="Z101" s="4"/>
      <c r="AA101" s="5"/>
      <c r="AB101" s="5"/>
      <c r="AC101" s="4"/>
      <c r="AD101" s="5"/>
      <c r="AE101" s="5"/>
      <c r="AF101" s="4"/>
      <c r="AG101" s="5"/>
      <c r="AH101" s="5"/>
      <c r="AI101" s="4"/>
      <c r="AJ101" s="5"/>
      <c r="AK101" s="5"/>
      <c r="AL101" s="5">
        <f t="shared" si="21"/>
        <v>247.23999999999998</v>
      </c>
      <c r="AM101" s="5">
        <f t="shared" si="22"/>
        <v>250</v>
      </c>
      <c r="AN101" s="5">
        <f t="shared" si="23"/>
        <v>-2.7600000000000193</v>
      </c>
      <c r="AP101" s="5">
        <v>600</v>
      </c>
    </row>
    <row r="102" spans="1:44" x14ac:dyDescent="0.25">
      <c r="A102" s="3" t="s">
        <v>94</v>
      </c>
      <c r="B102" s="5">
        <f>65</f>
        <v>65</v>
      </c>
      <c r="C102" s="5">
        <f>60</f>
        <v>60</v>
      </c>
      <c r="D102" s="5">
        <f t="shared" si="16"/>
        <v>5</v>
      </c>
      <c r="E102" s="5">
        <f>121</f>
        <v>121</v>
      </c>
      <c r="F102" s="5">
        <f>90</f>
        <v>90</v>
      </c>
      <c r="G102" s="5">
        <f t="shared" si="17"/>
        <v>31</v>
      </c>
      <c r="H102" s="5">
        <f>260.87</f>
        <v>260.87</v>
      </c>
      <c r="I102" s="5">
        <f>50</f>
        <v>50</v>
      </c>
      <c r="J102" s="5">
        <f t="shared" si="18"/>
        <v>210.87</v>
      </c>
      <c r="K102" s="5">
        <f>175.17</f>
        <v>175.17</v>
      </c>
      <c r="L102" s="5">
        <f>335</f>
        <v>335</v>
      </c>
      <c r="M102" s="5">
        <f t="shared" si="19"/>
        <v>-159.83000000000001</v>
      </c>
      <c r="N102" s="5">
        <f>220.67</f>
        <v>220.67</v>
      </c>
      <c r="O102" s="5">
        <f>60</f>
        <v>60</v>
      </c>
      <c r="P102" s="5">
        <f t="shared" si="20"/>
        <v>160.66999999999999</v>
      </c>
      <c r="Q102" s="5"/>
      <c r="R102" s="5"/>
      <c r="S102" s="5"/>
      <c r="T102" s="4"/>
      <c r="U102" s="5"/>
      <c r="V102" s="5"/>
      <c r="W102" s="4"/>
      <c r="X102" s="5"/>
      <c r="Y102" s="5"/>
      <c r="Z102" s="4"/>
      <c r="AA102" s="5"/>
      <c r="AB102" s="5"/>
      <c r="AC102" s="4"/>
      <c r="AD102" s="5"/>
      <c r="AE102" s="5"/>
      <c r="AF102" s="4"/>
      <c r="AG102" s="5"/>
      <c r="AH102" s="5"/>
      <c r="AI102" s="4"/>
      <c r="AJ102" s="5"/>
      <c r="AK102" s="5"/>
      <c r="AL102" s="5">
        <f t="shared" si="21"/>
        <v>842.70999999999992</v>
      </c>
      <c r="AM102" s="5">
        <f t="shared" si="22"/>
        <v>595</v>
      </c>
      <c r="AN102" s="5">
        <f t="shared" si="23"/>
        <v>247.70999999999992</v>
      </c>
      <c r="AP102" s="5">
        <v>3715</v>
      </c>
    </row>
    <row r="103" spans="1:44" x14ac:dyDescent="0.25">
      <c r="A103" s="3" t="s">
        <v>95</v>
      </c>
      <c r="B103" s="6">
        <f>(((((((((((((((B87)+(B88))+(B89))+(B90))+(B91))+(B92))+(B93))+(B94))+(B95))+(B96))+(B97))+(B98))+(B99))+(B100))+(B101))+(B102)</f>
        <v>6046.7500000000009</v>
      </c>
      <c r="C103" s="6">
        <f>(((((((((((((((C87)+(C88))+(C89))+(C90))+(C91))+(C92))+(C93))+(C94))+(C95))+(C96))+(C97))+(C98))+(C99))+(C100))+(C101))+(C102)</f>
        <v>5486.3</v>
      </c>
      <c r="D103" s="6">
        <f t="shared" si="16"/>
        <v>560.45000000000073</v>
      </c>
      <c r="E103" s="6">
        <f>(((((((((((((((E87)+(E88))+(E89))+(E90))+(E91))+(E92))+(E93))+(E94))+(E95))+(E96))+(E97))+(E98))+(E99))+(E100))+(E101))+(E102)</f>
        <v>5723.8899999999994</v>
      </c>
      <c r="F103" s="6">
        <f>(((((((((((((((F87)+(F88))+(F89))+(F90))+(F91))+(F92))+(F93))+(F94))+(F95))+(F96))+(F97))+(F98))+(F99))+(F100))+(F101))+(F102)</f>
        <v>6086.3</v>
      </c>
      <c r="G103" s="6">
        <f t="shared" si="17"/>
        <v>-362.41000000000076</v>
      </c>
      <c r="H103" s="6">
        <f>(((((((((((((((H87)+(H88))+(H89))+(H90))+(H91))+(H92))+(H93))+(H94))+(H95))+(H96))+(H97))+(H98))+(H99))+(H100))+(H101))+(H102)</f>
        <v>6847.06</v>
      </c>
      <c r="I103" s="6">
        <f>(((((((((((((((I87)+(I88))+(I89))+(I90))+(I91))+(I92))+(I93))+(I94))+(I95))+(I96))+(I97))+(I98))+(I99))+(I100))+(I101))+(I102)</f>
        <v>6661.3</v>
      </c>
      <c r="J103" s="6">
        <f t="shared" si="18"/>
        <v>185.76000000000022</v>
      </c>
      <c r="K103" s="6">
        <f>(((((((((((((((K87)+(K88))+(K89))+(K90))+(K91))+(K92))+(K93))+(K94))+(K95))+(K96))+(K97))+(K98))+(K99))+(K100))+(K101))+(K102)</f>
        <v>6587.2500000000009</v>
      </c>
      <c r="L103" s="6">
        <f>(((((((((((((((L87)+(L88))+(L89))+(L90))+(L91))+(L92))+(L93))+(L94))+(L95))+(L96))+(L97))+(L98))+(L99))+(L100))+(L101))+(L102)</f>
        <v>10131.299999999999</v>
      </c>
      <c r="M103" s="6">
        <f t="shared" si="19"/>
        <v>-3544.0499999999984</v>
      </c>
      <c r="N103" s="6">
        <f>(((((((((((((((N87)+(N88))+(N89))+(N90))+(N91))+(N92))+(N93))+(N94))+(N95))+(N96))+(N97))+(N98))+(N99))+(N100))+(N101))+(N102)</f>
        <v>7039.12</v>
      </c>
      <c r="O103" s="6">
        <f>(((((((((((((((O87)+(O88))+(O89))+(O90))+(O91))+(O92))+(O93))+(O94))+(O95))+(O96))+(O97))+(O98))+(O99))+(O100))+(O101))+(O102)</f>
        <v>5891.3</v>
      </c>
      <c r="P103" s="6">
        <f t="shared" si="20"/>
        <v>1147.8199999999997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>
        <f t="shared" si="21"/>
        <v>32244.07</v>
      </c>
      <c r="AM103" s="6">
        <f t="shared" si="22"/>
        <v>34256.5</v>
      </c>
      <c r="AN103" s="6">
        <f t="shared" si="23"/>
        <v>-2012.4300000000003</v>
      </c>
      <c r="AP103" s="6">
        <v>80890.60000000002</v>
      </c>
    </row>
    <row r="104" spans="1:44" x14ac:dyDescent="0.25">
      <c r="A104" s="3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P104" s="15"/>
    </row>
    <row r="105" spans="1:44" x14ac:dyDescent="0.25">
      <c r="A105" s="3" t="s">
        <v>96</v>
      </c>
      <c r="B105" s="4"/>
      <c r="C105" s="4"/>
      <c r="D105" s="5">
        <f t="shared" si="16"/>
        <v>0</v>
      </c>
      <c r="E105" s="4"/>
      <c r="F105" s="4"/>
      <c r="G105" s="5">
        <f t="shared" si="17"/>
        <v>0</v>
      </c>
      <c r="H105" s="4"/>
      <c r="I105" s="4"/>
      <c r="J105" s="5">
        <f t="shared" si="18"/>
        <v>0</v>
      </c>
      <c r="K105" s="4"/>
      <c r="L105" s="4"/>
      <c r="M105" s="5">
        <f t="shared" si="19"/>
        <v>0</v>
      </c>
      <c r="N105" s="4"/>
      <c r="O105" s="4"/>
      <c r="P105" s="5">
        <f t="shared" si="20"/>
        <v>0</v>
      </c>
      <c r="Q105" s="4"/>
      <c r="R105" s="4"/>
      <c r="S105" s="5"/>
      <c r="T105" s="4"/>
      <c r="U105" s="4"/>
      <c r="V105" s="5"/>
      <c r="W105" s="4"/>
      <c r="X105" s="4"/>
      <c r="Y105" s="5"/>
      <c r="Z105" s="4"/>
      <c r="AA105" s="4"/>
      <c r="AB105" s="5"/>
      <c r="AC105" s="4"/>
      <c r="AD105" s="4"/>
      <c r="AE105" s="5"/>
      <c r="AF105" s="4"/>
      <c r="AG105" s="4"/>
      <c r="AH105" s="5"/>
      <c r="AI105" s="4"/>
      <c r="AJ105" s="4"/>
      <c r="AK105" s="5"/>
      <c r="AL105" s="5">
        <f t="shared" si="21"/>
        <v>0</v>
      </c>
      <c r="AM105" s="5">
        <f t="shared" si="22"/>
        <v>0</v>
      </c>
      <c r="AN105" s="5">
        <f t="shared" si="23"/>
        <v>0</v>
      </c>
      <c r="AP105" s="5">
        <v>0</v>
      </c>
    </row>
    <row r="106" spans="1:44" x14ac:dyDescent="0.25">
      <c r="A106" s="3" t="s">
        <v>97</v>
      </c>
      <c r="B106" s="5">
        <f>23901.44</f>
        <v>23901.439999999999</v>
      </c>
      <c r="C106" s="5">
        <f>23901.21</f>
        <v>23901.21</v>
      </c>
      <c r="D106" s="5">
        <f t="shared" si="16"/>
        <v>0.22999999999956344</v>
      </c>
      <c r="E106" s="5">
        <f>23901.36</f>
        <v>23901.360000000001</v>
      </c>
      <c r="F106" s="5">
        <f>23901.21</f>
        <v>23901.21</v>
      </c>
      <c r="G106" s="5">
        <f t="shared" si="17"/>
        <v>0.15000000000145519</v>
      </c>
      <c r="H106" s="5">
        <f>23901.36</f>
        <v>23901.360000000001</v>
      </c>
      <c r="I106" s="5">
        <f>23901.21</f>
        <v>23901.21</v>
      </c>
      <c r="J106" s="5">
        <f t="shared" si="18"/>
        <v>0.15000000000145519</v>
      </c>
      <c r="K106" s="5">
        <f>23137.49</f>
        <v>23137.49</v>
      </c>
      <c r="L106" s="5">
        <f>23901.21</f>
        <v>23901.21</v>
      </c>
      <c r="M106" s="5">
        <f t="shared" si="19"/>
        <v>-763.71999999999753</v>
      </c>
      <c r="N106" s="5">
        <f>19318.02</f>
        <v>19318.02</v>
      </c>
      <c r="O106" s="5">
        <f>23901.21</f>
        <v>23901.21</v>
      </c>
      <c r="P106" s="5">
        <f t="shared" si="20"/>
        <v>-4583.1899999999987</v>
      </c>
      <c r="Q106" s="4"/>
      <c r="R106" s="5"/>
      <c r="S106" s="5"/>
      <c r="T106" s="4"/>
      <c r="U106" s="5"/>
      <c r="V106" s="5"/>
      <c r="W106" s="4"/>
      <c r="X106" s="5"/>
      <c r="Y106" s="5"/>
      <c r="Z106" s="4"/>
      <c r="AA106" s="5"/>
      <c r="AB106" s="5"/>
      <c r="AC106" s="4"/>
      <c r="AD106" s="5"/>
      <c r="AE106" s="5"/>
      <c r="AF106" s="4"/>
      <c r="AG106" s="5"/>
      <c r="AH106" s="5"/>
      <c r="AI106" s="4"/>
      <c r="AJ106" s="5"/>
      <c r="AK106" s="5"/>
      <c r="AL106" s="5">
        <f t="shared" si="21"/>
        <v>114159.67000000001</v>
      </c>
      <c r="AM106" s="5">
        <f t="shared" si="22"/>
        <v>119506.04999999999</v>
      </c>
      <c r="AN106" s="5">
        <f t="shared" si="23"/>
        <v>-5346.3799999999756</v>
      </c>
      <c r="AP106" s="5">
        <v>286814.51999999996</v>
      </c>
    </row>
    <row r="107" spans="1:44" x14ac:dyDescent="0.25">
      <c r="A107" s="3" t="s">
        <v>98</v>
      </c>
      <c r="B107" s="5">
        <f>859.64</f>
        <v>859.64</v>
      </c>
      <c r="C107" s="5">
        <f>1067.48</f>
        <v>1067.48</v>
      </c>
      <c r="D107" s="5">
        <f t="shared" si="16"/>
        <v>-207.84000000000003</v>
      </c>
      <c r="E107" s="5">
        <f>859.64</f>
        <v>859.64</v>
      </c>
      <c r="F107" s="5">
        <f>1067.48</f>
        <v>1067.48</v>
      </c>
      <c r="G107" s="5">
        <f t="shared" si="17"/>
        <v>-207.84000000000003</v>
      </c>
      <c r="H107" s="5">
        <f>859.64</f>
        <v>859.64</v>
      </c>
      <c r="I107" s="5">
        <f>1067.48</f>
        <v>1067.48</v>
      </c>
      <c r="J107" s="5">
        <f t="shared" si="18"/>
        <v>-207.84000000000003</v>
      </c>
      <c r="K107" s="5">
        <f>819.06</f>
        <v>819.06</v>
      </c>
      <c r="L107" s="5">
        <f>1067.48</f>
        <v>1067.48</v>
      </c>
      <c r="M107" s="5">
        <f t="shared" si="19"/>
        <v>-248.42000000000007</v>
      </c>
      <c r="N107" s="5">
        <f>623.78</f>
        <v>623.78</v>
      </c>
      <c r="O107" s="5">
        <f>1067.48</f>
        <v>1067.48</v>
      </c>
      <c r="P107" s="5">
        <f t="shared" si="20"/>
        <v>-443.70000000000005</v>
      </c>
      <c r="Q107" s="4"/>
      <c r="R107" s="5"/>
      <c r="S107" s="5"/>
      <c r="T107" s="4"/>
      <c r="U107" s="5"/>
      <c r="V107" s="5"/>
      <c r="W107" s="4"/>
      <c r="X107" s="5"/>
      <c r="Y107" s="5"/>
      <c r="Z107" s="4"/>
      <c r="AA107" s="5"/>
      <c r="AB107" s="5"/>
      <c r="AC107" s="4"/>
      <c r="AD107" s="5"/>
      <c r="AE107" s="5"/>
      <c r="AF107" s="4"/>
      <c r="AG107" s="5"/>
      <c r="AH107" s="5"/>
      <c r="AI107" s="4"/>
      <c r="AJ107" s="5"/>
      <c r="AK107" s="5"/>
      <c r="AL107" s="5">
        <f t="shared" si="21"/>
        <v>4021.76</v>
      </c>
      <c r="AM107" s="5">
        <f t="shared" si="22"/>
        <v>5337.4</v>
      </c>
      <c r="AN107" s="5">
        <f t="shared" si="23"/>
        <v>-1315.6399999999994</v>
      </c>
      <c r="AP107" s="5">
        <v>12809.759999999997</v>
      </c>
    </row>
    <row r="108" spans="1:44" x14ac:dyDescent="0.25">
      <c r="A108" s="3" t="s">
        <v>99</v>
      </c>
      <c r="B108" s="5">
        <f>4627.54</f>
        <v>4627.54</v>
      </c>
      <c r="C108" s="5">
        <f>4627.71</f>
        <v>4627.71</v>
      </c>
      <c r="D108" s="5">
        <f t="shared" si="16"/>
        <v>-0.17000000000007276</v>
      </c>
      <c r="E108" s="5">
        <f>4627.54</f>
        <v>4627.54</v>
      </c>
      <c r="F108" s="5">
        <f>4627.71</f>
        <v>4627.71</v>
      </c>
      <c r="G108" s="5">
        <f t="shared" si="17"/>
        <v>-0.17000000000007276</v>
      </c>
      <c r="H108" s="5">
        <f>4627.54</f>
        <v>4627.54</v>
      </c>
      <c r="I108" s="5">
        <f>4627.71</f>
        <v>4627.71</v>
      </c>
      <c r="J108" s="5">
        <f t="shared" si="18"/>
        <v>-0.17000000000007276</v>
      </c>
      <c r="K108" s="5">
        <f>4558.79</f>
        <v>4558.79</v>
      </c>
      <c r="L108" s="5">
        <f>4627.71</f>
        <v>4627.71</v>
      </c>
      <c r="M108" s="5">
        <f t="shared" si="19"/>
        <v>-68.920000000000073</v>
      </c>
      <c r="N108" s="5">
        <f>4509.79</f>
        <v>4509.79</v>
      </c>
      <c r="O108" s="5">
        <f>4627.71</f>
        <v>4627.71</v>
      </c>
      <c r="P108" s="5">
        <f t="shared" si="20"/>
        <v>-117.92000000000007</v>
      </c>
      <c r="Q108" s="4"/>
      <c r="R108" s="5"/>
      <c r="S108" s="5"/>
      <c r="T108" s="4"/>
      <c r="U108" s="5"/>
      <c r="V108" s="5"/>
      <c r="W108" s="4"/>
      <c r="X108" s="5"/>
      <c r="Y108" s="5"/>
      <c r="Z108" s="4"/>
      <c r="AA108" s="5"/>
      <c r="AB108" s="5"/>
      <c r="AC108" s="4"/>
      <c r="AD108" s="5"/>
      <c r="AE108" s="5"/>
      <c r="AF108" s="4"/>
      <c r="AG108" s="5"/>
      <c r="AH108" s="5"/>
      <c r="AI108" s="4"/>
      <c r="AJ108" s="5"/>
      <c r="AK108" s="5"/>
      <c r="AL108" s="5">
        <f t="shared" si="21"/>
        <v>22951.200000000001</v>
      </c>
      <c r="AM108" s="5">
        <f t="shared" si="22"/>
        <v>23138.55</v>
      </c>
      <c r="AN108" s="5">
        <f t="shared" si="23"/>
        <v>-187.34999999999854</v>
      </c>
      <c r="AP108" s="5">
        <v>55532.52</v>
      </c>
    </row>
    <row r="109" spans="1:44" x14ac:dyDescent="0.25">
      <c r="A109" s="3" t="s">
        <v>100</v>
      </c>
      <c r="B109" s="5">
        <f>-29388.62</f>
        <v>-29388.62</v>
      </c>
      <c r="C109" s="5">
        <f>-29596.4</f>
        <v>-29596.400000000001</v>
      </c>
      <c r="D109" s="5">
        <f t="shared" si="16"/>
        <v>207.78000000000247</v>
      </c>
      <c r="E109" s="5">
        <f>-29388.54</f>
        <v>-29388.54</v>
      </c>
      <c r="F109" s="5">
        <f>-29596.4</f>
        <v>-29596.400000000001</v>
      </c>
      <c r="G109" s="5">
        <f t="shared" si="17"/>
        <v>207.86000000000058</v>
      </c>
      <c r="H109" s="5">
        <f>-29388.54</f>
        <v>-29388.54</v>
      </c>
      <c r="I109" s="5">
        <f>-29596.4</f>
        <v>-29596.400000000001</v>
      </c>
      <c r="J109" s="5">
        <f t="shared" si="18"/>
        <v>207.86000000000058</v>
      </c>
      <c r="K109" s="5">
        <f>-28515.34</f>
        <v>-28515.34</v>
      </c>
      <c r="L109" s="5">
        <f>-29596.4</f>
        <v>-29596.400000000001</v>
      </c>
      <c r="M109" s="5">
        <f t="shared" si="19"/>
        <v>1081.0600000000013</v>
      </c>
      <c r="N109" s="5">
        <f>-24451.59</f>
        <v>-24451.59</v>
      </c>
      <c r="O109" s="5">
        <f>-29596.4</f>
        <v>-29596.400000000001</v>
      </c>
      <c r="P109" s="5">
        <f t="shared" si="20"/>
        <v>5144.8100000000013</v>
      </c>
      <c r="Q109" s="4"/>
      <c r="R109" s="5"/>
      <c r="S109" s="5"/>
      <c r="T109" s="4"/>
      <c r="U109" s="5"/>
      <c r="V109" s="5"/>
      <c r="W109" s="4"/>
      <c r="X109" s="5"/>
      <c r="Y109" s="5"/>
      <c r="Z109" s="4"/>
      <c r="AA109" s="5"/>
      <c r="AB109" s="5"/>
      <c r="AC109" s="4"/>
      <c r="AD109" s="5"/>
      <c r="AE109" s="5"/>
      <c r="AF109" s="4"/>
      <c r="AG109" s="5"/>
      <c r="AH109" s="5"/>
      <c r="AI109" s="4"/>
      <c r="AJ109" s="5"/>
      <c r="AK109" s="5"/>
      <c r="AL109" s="5">
        <f t="shared" si="21"/>
        <v>-141132.63</v>
      </c>
      <c r="AM109" s="5">
        <f t="shared" si="22"/>
        <v>-147982</v>
      </c>
      <c r="AN109" s="5">
        <f t="shared" si="23"/>
        <v>6849.3699999999953</v>
      </c>
      <c r="AP109" s="5">
        <v>-355156.80000000005</v>
      </c>
    </row>
    <row r="110" spans="1:44" x14ac:dyDescent="0.25">
      <c r="A110" s="3" t="s">
        <v>101</v>
      </c>
      <c r="B110" s="6">
        <f>((((B105)+(B106))+(B107))+(B108))+(B109)</f>
        <v>0</v>
      </c>
      <c r="C110" s="6">
        <f>((((C105)+(C106))+(C107))+(C108))+(C109)</f>
        <v>0</v>
      </c>
      <c r="D110" s="6">
        <f t="shared" si="16"/>
        <v>0</v>
      </c>
      <c r="E110" s="6">
        <f>((((E105)+(E106))+(E107))+(E108))+(E109)</f>
        <v>0</v>
      </c>
      <c r="F110" s="6">
        <f>((((F105)+(F106))+(F107))+(F108))+(F109)</f>
        <v>0</v>
      </c>
      <c r="G110" s="6">
        <f t="shared" si="17"/>
        <v>0</v>
      </c>
      <c r="H110" s="6">
        <f>((((H105)+(H106))+(H107))+(H108))+(H109)</f>
        <v>0</v>
      </c>
      <c r="I110" s="6">
        <f>((((I105)+(I106))+(I107))+(I108))+(I109)</f>
        <v>0</v>
      </c>
      <c r="J110" s="6">
        <f t="shared" si="18"/>
        <v>0</v>
      </c>
      <c r="K110" s="6">
        <f>((((K105)+(K106))+(K107))+(K108))+(K109)</f>
        <v>0</v>
      </c>
      <c r="L110" s="6">
        <f>((((L105)+(L106))+(L107))+(L108))+(L109)</f>
        <v>0</v>
      </c>
      <c r="M110" s="6">
        <f t="shared" si="19"/>
        <v>0</v>
      </c>
      <c r="N110" s="6">
        <f>((((N105)+(N106))+(N107))+(N108))+(N109)</f>
        <v>0</v>
      </c>
      <c r="O110" s="6">
        <f>((((O105)+(O106))+(O107))+(O108))+(O109)</f>
        <v>0</v>
      </c>
      <c r="P110" s="6">
        <f t="shared" si="20"/>
        <v>0</v>
      </c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>
        <f t="shared" si="21"/>
        <v>0</v>
      </c>
      <c r="AM110" s="6">
        <f t="shared" si="22"/>
        <v>0</v>
      </c>
      <c r="AN110" s="6">
        <f t="shared" si="23"/>
        <v>0</v>
      </c>
      <c r="AP110" s="6">
        <v>0</v>
      </c>
    </row>
    <row r="111" spans="1:44" x14ac:dyDescent="0.25">
      <c r="A111" s="3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P111" s="15"/>
    </row>
    <row r="112" spans="1:44" x14ac:dyDescent="0.25">
      <c r="A112" s="3" t="s">
        <v>102</v>
      </c>
      <c r="B112" s="5">
        <f>7890</f>
        <v>7890</v>
      </c>
      <c r="C112" s="5">
        <f>7890</f>
        <v>7890</v>
      </c>
      <c r="D112" s="5">
        <f t="shared" si="16"/>
        <v>0</v>
      </c>
      <c r="E112" s="5">
        <f>7890</f>
        <v>7890</v>
      </c>
      <c r="F112" s="5">
        <f>7890</f>
        <v>7890</v>
      </c>
      <c r="G112" s="5">
        <f t="shared" si="17"/>
        <v>0</v>
      </c>
      <c r="H112" s="5">
        <f>7890</f>
        <v>7890</v>
      </c>
      <c r="I112" s="5">
        <f>7890</f>
        <v>7890</v>
      </c>
      <c r="J112" s="5">
        <f t="shared" si="18"/>
        <v>0</v>
      </c>
      <c r="K112" s="5">
        <f>7890</f>
        <v>7890</v>
      </c>
      <c r="L112" s="5">
        <f>7890</f>
        <v>7890</v>
      </c>
      <c r="M112" s="5">
        <f t="shared" si="19"/>
        <v>0</v>
      </c>
      <c r="N112" s="5">
        <f>7890</f>
        <v>7890</v>
      </c>
      <c r="O112" s="5">
        <f>7890</f>
        <v>7890</v>
      </c>
      <c r="P112" s="5">
        <f t="shared" si="20"/>
        <v>0</v>
      </c>
      <c r="Q112" s="4"/>
      <c r="R112" s="5"/>
      <c r="S112" s="5"/>
      <c r="T112" s="4"/>
      <c r="U112" s="5"/>
      <c r="V112" s="5"/>
      <c r="W112" s="4"/>
      <c r="X112" s="5"/>
      <c r="Y112" s="5"/>
      <c r="Z112" s="4"/>
      <c r="AA112" s="5"/>
      <c r="AB112" s="5"/>
      <c r="AC112" s="4"/>
      <c r="AD112" s="5"/>
      <c r="AE112" s="5"/>
      <c r="AF112" s="4"/>
      <c r="AG112" s="5"/>
      <c r="AH112" s="5"/>
      <c r="AI112" s="4"/>
      <c r="AJ112" s="5"/>
      <c r="AK112" s="5"/>
      <c r="AL112" s="5">
        <f t="shared" si="21"/>
        <v>39450</v>
      </c>
      <c r="AM112" s="5">
        <f t="shared" si="22"/>
        <v>39450</v>
      </c>
      <c r="AN112" s="5">
        <f t="shared" si="23"/>
        <v>0</v>
      </c>
      <c r="AP112" s="5">
        <v>94680</v>
      </c>
    </row>
    <row r="113" spans="1:44" x14ac:dyDescent="0.25">
      <c r="A113" s="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  <c r="R113" s="5"/>
      <c r="S113" s="5"/>
      <c r="T113" s="4"/>
      <c r="U113" s="5"/>
      <c r="V113" s="5"/>
      <c r="W113" s="4"/>
      <c r="X113" s="5"/>
      <c r="Y113" s="5"/>
      <c r="Z113" s="4"/>
      <c r="AA113" s="5"/>
      <c r="AB113" s="5"/>
      <c r="AC113" s="4"/>
      <c r="AD113" s="5"/>
      <c r="AE113" s="5"/>
      <c r="AF113" s="4"/>
      <c r="AG113" s="5"/>
      <c r="AH113" s="5"/>
      <c r="AI113" s="4"/>
      <c r="AJ113" s="5"/>
      <c r="AK113" s="5"/>
      <c r="AL113" s="5"/>
      <c r="AM113" s="5"/>
      <c r="AN113" s="5"/>
      <c r="AP113" s="5"/>
    </row>
    <row r="114" spans="1:44" x14ac:dyDescent="0.25">
      <c r="A114" s="3" t="s">
        <v>103</v>
      </c>
      <c r="B114" s="6">
        <f>((((((((B53)+(B61))+(B66))+(B71))+(B77))+(B85))+(B103))+(B110))+(B112)</f>
        <v>41033.300000000003</v>
      </c>
      <c r="C114" s="6">
        <f>((((((((C53)+(C61))+(C66))+(C71))+(C77))+(C85))+(C103))+(C110))+(C112)</f>
        <v>42801.4</v>
      </c>
      <c r="D114" s="6">
        <f t="shared" si="16"/>
        <v>-1768.0999999999985</v>
      </c>
      <c r="E114" s="6">
        <f>((((((((E53)+(E61))+(E66))+(E71))+(E77))+(E85))+(E103))+(E110))+(E112)</f>
        <v>43219.76</v>
      </c>
      <c r="F114" s="6">
        <f>((((((((F53)+(F61))+(F66))+(F71))+(F77))+(F85))+(F103))+(F110))+(F112)</f>
        <v>47976.4</v>
      </c>
      <c r="G114" s="6">
        <f t="shared" si="17"/>
        <v>-4756.6399999999994</v>
      </c>
      <c r="H114" s="6">
        <f>((((((((H53)+(H61))+(H66))+(H71))+(H77))+(H85))+(H103))+(H110))+(H112)</f>
        <v>44413.919999999998</v>
      </c>
      <c r="I114" s="6">
        <f>((((((((I53)+(I61))+(I66))+(I71))+(I77))+(I85))+(I103))+(I110))+(I112)</f>
        <v>66261.399999999994</v>
      </c>
      <c r="J114" s="6">
        <f t="shared" si="18"/>
        <v>-21847.479999999996</v>
      </c>
      <c r="K114" s="6">
        <f>((((((((K53)+(K61))+(K66))+(K71))+(K77))+(K85))+(K103))+(K110))+(K112)</f>
        <v>51324.020000000004</v>
      </c>
      <c r="L114" s="6">
        <f>((((((((L53)+(L61))+(L66))+(L71))+(L77))+(L85))+(L103))+(L110))+(L112)</f>
        <v>54896.399999999994</v>
      </c>
      <c r="M114" s="6">
        <f t="shared" si="19"/>
        <v>-3572.3799999999901</v>
      </c>
      <c r="N114" s="6">
        <f>((((((((N53)+(N61))+(N66))+(N71))+(N77))+(N85))+(N103))+(N110))+(N112)</f>
        <v>52990.29</v>
      </c>
      <c r="O114" s="6">
        <f>((((((((O53)+(O61))+(O66))+(O71))+(O77))+(O85))+(O103))+(O110))+(O112)</f>
        <v>45506.400000000001</v>
      </c>
      <c r="P114" s="6">
        <f t="shared" si="20"/>
        <v>7483.8899999999994</v>
      </c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>
        <f t="shared" si="21"/>
        <v>232981.29</v>
      </c>
      <c r="AM114" s="6">
        <f t="shared" si="22"/>
        <v>257442</v>
      </c>
      <c r="AN114" s="6">
        <f t="shared" si="23"/>
        <v>-24460.709999999992</v>
      </c>
      <c r="AP114" s="6">
        <v>564131.80000000016</v>
      </c>
    </row>
    <row r="115" spans="1:44" x14ac:dyDescent="0.25">
      <c r="A115" s="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P115" s="7"/>
    </row>
    <row r="116" spans="1:44" x14ac:dyDescent="0.25">
      <c r="A116" s="3" t="s">
        <v>104</v>
      </c>
      <c r="B116" s="6">
        <f>(B45)-(B114)</f>
        <v>13475.809999999998</v>
      </c>
      <c r="C116" s="6">
        <f>(C45)-(C114)</f>
        <v>-1595.4000000000015</v>
      </c>
      <c r="D116" s="6">
        <f t="shared" si="16"/>
        <v>15071.21</v>
      </c>
      <c r="E116" s="6">
        <f>(E45)-(E114)</f>
        <v>-9641.510000000002</v>
      </c>
      <c r="F116" s="6">
        <f>(F45)-(F114)</f>
        <v>-24310.400000000001</v>
      </c>
      <c r="G116" s="6">
        <f t="shared" si="17"/>
        <v>14668.89</v>
      </c>
      <c r="H116" s="6">
        <f>(H45)-(H114)</f>
        <v>-14154.939999999999</v>
      </c>
      <c r="I116" s="6">
        <f>(I45)-(I114)</f>
        <v>-24920.399999999994</v>
      </c>
      <c r="J116" s="6">
        <f t="shared" si="18"/>
        <v>10765.459999999995</v>
      </c>
      <c r="K116" s="6">
        <f>(K45)-(K114)</f>
        <v>-929.84000000000378</v>
      </c>
      <c r="L116" s="6">
        <f>(L45)-(L114)</f>
        <v>5085.6000000000058</v>
      </c>
      <c r="M116" s="6">
        <f t="shared" si="19"/>
        <v>-6015.4400000000096</v>
      </c>
      <c r="N116" s="6">
        <f>(N45)-(N114)</f>
        <v>16751.19000000001</v>
      </c>
      <c r="O116" s="6">
        <f>(O45)-(O114)</f>
        <v>34559.599999999999</v>
      </c>
      <c r="P116" s="6">
        <f t="shared" si="20"/>
        <v>-17808.409999999989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17">
        <f t="shared" si="21"/>
        <v>5500.7100000000028</v>
      </c>
      <c r="AM116" s="17">
        <f t="shared" si="22"/>
        <v>-11180.999999999993</v>
      </c>
      <c r="AN116" s="17">
        <f t="shared" si="23"/>
        <v>16681.709999999995</v>
      </c>
      <c r="AP116" s="17">
        <v>1221.2000000000189</v>
      </c>
    </row>
    <row r="117" spans="1:44" ht="15.75" thickBot="1" x14ac:dyDescent="0.3">
      <c r="A117" s="3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P117" s="15"/>
    </row>
    <row r="118" spans="1:44" x14ac:dyDescent="0.25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20"/>
      <c r="AP118" s="19"/>
      <c r="AQ118" s="20"/>
      <c r="AR118" s="21"/>
    </row>
    <row r="119" spans="1:44" x14ac:dyDescent="0.25">
      <c r="A119" s="3" t="s">
        <v>105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P119" s="4"/>
    </row>
    <row r="120" spans="1:44" x14ac:dyDescent="0.25">
      <c r="A120" s="3" t="s">
        <v>106</v>
      </c>
      <c r="B120" s="4"/>
      <c r="C120" s="4"/>
      <c r="D120" s="5">
        <f t="shared" ref="D120:D132" si="24">(B120)-(C120)</f>
        <v>0</v>
      </c>
      <c r="E120" s="4"/>
      <c r="F120" s="4"/>
      <c r="G120" s="5">
        <f t="shared" ref="G120:G132" si="25">(E120)-(F120)</f>
        <v>0</v>
      </c>
      <c r="H120" s="4"/>
      <c r="I120" s="4"/>
      <c r="J120" s="5">
        <f t="shared" ref="J120:J132" si="26">(H120)-(I120)</f>
        <v>0</v>
      </c>
      <c r="K120" s="4"/>
      <c r="L120" s="4"/>
      <c r="M120" s="5">
        <f t="shared" ref="M120:M132" si="27">(K120)-(L120)</f>
        <v>0</v>
      </c>
      <c r="N120" s="4"/>
      <c r="O120" s="4"/>
      <c r="P120" s="5">
        <f t="shared" ref="P120:P132" si="28">(N120)-(O120)</f>
        <v>0</v>
      </c>
      <c r="Q120" s="4"/>
      <c r="R120" s="4"/>
      <c r="S120" s="5"/>
      <c r="T120" s="4"/>
      <c r="U120" s="4"/>
      <c r="V120" s="5"/>
      <c r="W120" s="4"/>
      <c r="X120" s="4"/>
      <c r="Y120" s="5"/>
      <c r="Z120" s="4"/>
      <c r="AA120" s="4"/>
      <c r="AB120" s="5"/>
      <c r="AC120" s="4"/>
      <c r="AD120" s="4"/>
      <c r="AE120" s="5"/>
      <c r="AF120" s="4"/>
      <c r="AG120" s="4"/>
      <c r="AH120" s="5"/>
      <c r="AI120" s="4"/>
      <c r="AJ120" s="4"/>
      <c r="AK120" s="5"/>
      <c r="AL120" s="5">
        <f t="shared" ref="AL120:AL132" si="29">(((((((((((B120)+(E120))+(H120))+(K120))+(N120))+(Q120))+(T120))+(W120))+(Z120))+(AC120))+(AF120))+(AI120)</f>
        <v>0</v>
      </c>
      <c r="AM120" s="5">
        <f t="shared" ref="AM120:AM132" si="30">(((((((((((C120)+(F120))+(I120))+(L120))+(O120))+(R120))+(U120))+(X120))+(AA120))+(AD120))+(AG120))+(AJ120)</f>
        <v>0</v>
      </c>
      <c r="AN120" s="5">
        <f t="shared" ref="AN120:AN132" si="31">(AL120)-(AM120)</f>
        <v>0</v>
      </c>
      <c r="AP120" s="5">
        <v>0</v>
      </c>
    </row>
    <row r="121" spans="1:44" x14ac:dyDescent="0.25">
      <c r="A121" s="3" t="s">
        <v>107</v>
      </c>
      <c r="B121" s="5">
        <f>5528.74</f>
        <v>5528.74</v>
      </c>
      <c r="C121" s="4"/>
      <c r="D121" s="5">
        <f t="shared" si="24"/>
        <v>5528.74</v>
      </c>
      <c r="E121" s="5">
        <f>2686.65</f>
        <v>2686.65</v>
      </c>
      <c r="F121" s="4"/>
      <c r="G121" s="5">
        <f t="shared" si="25"/>
        <v>2686.65</v>
      </c>
      <c r="H121" s="5">
        <f>4831.56</f>
        <v>4831.5600000000004</v>
      </c>
      <c r="I121" s="4"/>
      <c r="J121" s="5">
        <f t="shared" si="26"/>
        <v>4831.5600000000004</v>
      </c>
      <c r="K121" s="5">
        <f>5454.35</f>
        <v>5454.35</v>
      </c>
      <c r="L121" s="4"/>
      <c r="M121" s="5">
        <f t="shared" si="27"/>
        <v>5454.35</v>
      </c>
      <c r="N121" s="5">
        <f>3557.94</f>
        <v>3557.94</v>
      </c>
      <c r="O121" s="4"/>
      <c r="P121" s="5">
        <f t="shared" si="28"/>
        <v>3557.94</v>
      </c>
      <c r="Q121" s="4"/>
      <c r="R121" s="4"/>
      <c r="S121" s="5"/>
      <c r="T121" s="4"/>
      <c r="U121" s="4"/>
      <c r="V121" s="5"/>
      <c r="W121" s="4"/>
      <c r="X121" s="4"/>
      <c r="Y121" s="5"/>
      <c r="Z121" s="4"/>
      <c r="AA121" s="4"/>
      <c r="AB121" s="5"/>
      <c r="AC121" s="4"/>
      <c r="AD121" s="4"/>
      <c r="AE121" s="5"/>
      <c r="AF121" s="4"/>
      <c r="AG121" s="4"/>
      <c r="AH121" s="5"/>
      <c r="AI121" s="4"/>
      <c r="AJ121" s="4"/>
      <c r="AK121" s="5"/>
      <c r="AL121" s="5">
        <f t="shared" si="29"/>
        <v>22059.24</v>
      </c>
      <c r="AM121" s="5">
        <f t="shared" si="30"/>
        <v>0</v>
      </c>
      <c r="AN121" s="5">
        <f t="shared" si="31"/>
        <v>22059.24</v>
      </c>
      <c r="AP121" s="5">
        <v>0</v>
      </c>
      <c r="AR121" s="10" t="s">
        <v>142</v>
      </c>
    </row>
    <row r="122" spans="1:44" x14ac:dyDescent="0.25">
      <c r="A122" s="3" t="s">
        <v>108</v>
      </c>
      <c r="B122" s="5">
        <f>103391.55</f>
        <v>103391.55</v>
      </c>
      <c r="C122" s="4"/>
      <c r="D122" s="5">
        <f t="shared" si="24"/>
        <v>103391.55</v>
      </c>
      <c r="E122" s="5">
        <f>56433.37</f>
        <v>56433.37</v>
      </c>
      <c r="F122" s="4"/>
      <c r="G122" s="5">
        <f t="shared" si="25"/>
        <v>56433.37</v>
      </c>
      <c r="H122" s="5">
        <f>25479.16</f>
        <v>25479.16</v>
      </c>
      <c r="I122" s="4"/>
      <c r="J122" s="5">
        <f t="shared" si="26"/>
        <v>25479.16</v>
      </c>
      <c r="K122" s="5">
        <f>58684.05</f>
        <v>58684.05</v>
      </c>
      <c r="L122" s="4"/>
      <c r="M122" s="5">
        <f t="shared" si="27"/>
        <v>58684.05</v>
      </c>
      <c r="N122" s="5">
        <f>-75705.5</f>
        <v>-75705.5</v>
      </c>
      <c r="O122" s="4"/>
      <c r="P122" s="5">
        <f t="shared" si="28"/>
        <v>-75705.5</v>
      </c>
      <c r="Q122" s="4"/>
      <c r="R122" s="4"/>
      <c r="S122" s="5"/>
      <c r="T122" s="4"/>
      <c r="U122" s="4"/>
      <c r="V122" s="5"/>
      <c r="W122" s="4"/>
      <c r="X122" s="4"/>
      <c r="Y122" s="5"/>
      <c r="Z122" s="4"/>
      <c r="AA122" s="4"/>
      <c r="AB122" s="5"/>
      <c r="AC122" s="4"/>
      <c r="AD122" s="4"/>
      <c r="AE122" s="5"/>
      <c r="AF122" s="4"/>
      <c r="AG122" s="4"/>
      <c r="AH122" s="5"/>
      <c r="AI122" s="4"/>
      <c r="AJ122" s="4"/>
      <c r="AK122" s="5"/>
      <c r="AL122" s="5">
        <f t="shared" si="29"/>
        <v>168282.63</v>
      </c>
      <c r="AM122" s="5">
        <f t="shared" si="30"/>
        <v>0</v>
      </c>
      <c r="AN122" s="5">
        <f t="shared" si="31"/>
        <v>168282.63</v>
      </c>
      <c r="AP122" s="5">
        <v>0</v>
      </c>
      <c r="AR122" s="10" t="s">
        <v>143</v>
      </c>
    </row>
    <row r="123" spans="1:44" x14ac:dyDescent="0.25">
      <c r="A123" s="3" t="s">
        <v>109</v>
      </c>
      <c r="B123" s="6">
        <f>((B120)+(B121))+(B122)</f>
        <v>108920.29000000001</v>
      </c>
      <c r="C123" s="6">
        <f>((C120)+(C121))+(C122)</f>
        <v>0</v>
      </c>
      <c r="D123" s="6">
        <f t="shared" si="24"/>
        <v>108920.29000000001</v>
      </c>
      <c r="E123" s="6">
        <f>((E120)+(E121))+(E122)</f>
        <v>59120.020000000004</v>
      </c>
      <c r="F123" s="6">
        <f>((F120)+(F121))+(F122)</f>
        <v>0</v>
      </c>
      <c r="G123" s="6">
        <f t="shared" si="25"/>
        <v>59120.020000000004</v>
      </c>
      <c r="H123" s="6">
        <f>((H120)+(H121))+(H122)</f>
        <v>30310.720000000001</v>
      </c>
      <c r="I123" s="6">
        <f>((I120)+(I121))+(I122)</f>
        <v>0</v>
      </c>
      <c r="J123" s="6">
        <f t="shared" si="26"/>
        <v>30310.720000000001</v>
      </c>
      <c r="K123" s="6">
        <f>((K120)+(K121))+(K122)</f>
        <v>64138.400000000001</v>
      </c>
      <c r="L123" s="6">
        <f>((L120)+(L121))+(L122)</f>
        <v>0</v>
      </c>
      <c r="M123" s="6">
        <f t="shared" si="27"/>
        <v>64138.400000000001</v>
      </c>
      <c r="N123" s="6">
        <f>((N120)+(N121))+(N122)</f>
        <v>-72147.56</v>
      </c>
      <c r="O123" s="6">
        <f>((O120)+(O121))+(O122)</f>
        <v>0</v>
      </c>
      <c r="P123" s="6">
        <f t="shared" si="28"/>
        <v>-72147.56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>
        <f t="shared" si="29"/>
        <v>190341.87</v>
      </c>
      <c r="AM123" s="6">
        <f t="shared" si="30"/>
        <v>0</v>
      </c>
      <c r="AN123" s="6">
        <f t="shared" si="31"/>
        <v>190341.87</v>
      </c>
      <c r="AP123" s="6">
        <v>0</v>
      </c>
    </row>
    <row r="124" spans="1:44" x14ac:dyDescent="0.25">
      <c r="A124" s="3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P124" s="15"/>
    </row>
    <row r="125" spans="1:44" x14ac:dyDescent="0.25">
      <c r="A125" s="3" t="s">
        <v>110</v>
      </c>
      <c r="B125" s="4"/>
      <c r="C125" s="4"/>
      <c r="D125" s="5">
        <f t="shared" si="24"/>
        <v>0</v>
      </c>
      <c r="E125" s="4"/>
      <c r="F125" s="4"/>
      <c r="G125" s="5">
        <f t="shared" si="25"/>
        <v>0</v>
      </c>
      <c r="H125" s="4"/>
      <c r="I125" s="4"/>
      <c r="J125" s="5">
        <f t="shared" si="26"/>
        <v>0</v>
      </c>
      <c r="K125" s="4"/>
      <c r="L125" s="4"/>
      <c r="M125" s="5">
        <f t="shared" si="27"/>
        <v>0</v>
      </c>
      <c r="N125" s="5">
        <f>101.48</f>
        <v>101.48</v>
      </c>
      <c r="O125" s="4"/>
      <c r="P125" s="5">
        <f t="shared" si="28"/>
        <v>101.48</v>
      </c>
      <c r="Q125" s="4"/>
      <c r="R125" s="4"/>
      <c r="S125" s="5"/>
      <c r="T125" s="4"/>
      <c r="U125" s="4"/>
      <c r="V125" s="5"/>
      <c r="W125" s="4"/>
      <c r="X125" s="4"/>
      <c r="Y125" s="5"/>
      <c r="Z125" s="4"/>
      <c r="AA125" s="4"/>
      <c r="AB125" s="5"/>
      <c r="AC125" s="4"/>
      <c r="AD125" s="4"/>
      <c r="AE125" s="5"/>
      <c r="AF125" s="4"/>
      <c r="AG125" s="4"/>
      <c r="AH125" s="5"/>
      <c r="AI125" s="4"/>
      <c r="AJ125" s="4"/>
      <c r="AK125" s="5"/>
      <c r="AL125" s="5">
        <f t="shared" si="29"/>
        <v>101.48</v>
      </c>
      <c r="AM125" s="5">
        <f t="shared" si="30"/>
        <v>0</v>
      </c>
      <c r="AN125" s="5">
        <f t="shared" si="31"/>
        <v>101.48</v>
      </c>
      <c r="AP125" s="5">
        <v>0</v>
      </c>
    </row>
    <row r="126" spans="1:44" x14ac:dyDescent="0.25">
      <c r="A126" s="3" t="s">
        <v>111</v>
      </c>
      <c r="B126" s="5">
        <f>1050</f>
        <v>1050</v>
      </c>
      <c r="C126" s="4"/>
      <c r="D126" s="5">
        <f t="shared" si="24"/>
        <v>1050</v>
      </c>
      <c r="E126" s="5">
        <f>800</f>
        <v>800</v>
      </c>
      <c r="F126" s="4"/>
      <c r="G126" s="5">
        <f t="shared" si="25"/>
        <v>800</v>
      </c>
      <c r="H126" s="5">
        <f>1350</f>
        <v>1350</v>
      </c>
      <c r="I126" s="4"/>
      <c r="J126" s="5">
        <f t="shared" si="26"/>
        <v>1350</v>
      </c>
      <c r="K126" s="5">
        <f>18130</f>
        <v>18130</v>
      </c>
      <c r="L126" s="4"/>
      <c r="M126" s="5">
        <f t="shared" si="27"/>
        <v>18130</v>
      </c>
      <c r="N126" s="5">
        <f>3630</f>
        <v>3630</v>
      </c>
      <c r="O126" s="4"/>
      <c r="P126" s="5">
        <f t="shared" si="28"/>
        <v>3630</v>
      </c>
      <c r="Q126" s="4"/>
      <c r="R126" s="4"/>
      <c r="S126" s="5"/>
      <c r="T126" s="4"/>
      <c r="U126" s="4"/>
      <c r="V126" s="5"/>
      <c r="W126" s="4"/>
      <c r="X126" s="4"/>
      <c r="Y126" s="5"/>
      <c r="Z126" s="4"/>
      <c r="AA126" s="4"/>
      <c r="AB126" s="5"/>
      <c r="AC126" s="4"/>
      <c r="AD126" s="4"/>
      <c r="AE126" s="5"/>
      <c r="AF126" s="4"/>
      <c r="AG126" s="4"/>
      <c r="AH126" s="5"/>
      <c r="AI126" s="4"/>
      <c r="AJ126" s="4"/>
      <c r="AK126" s="5"/>
      <c r="AL126" s="5">
        <f t="shared" si="29"/>
        <v>24960</v>
      </c>
      <c r="AM126" s="5">
        <f t="shared" si="30"/>
        <v>0</v>
      </c>
      <c r="AN126" s="5">
        <f t="shared" si="31"/>
        <v>24960</v>
      </c>
      <c r="AP126" s="5">
        <v>0</v>
      </c>
    </row>
    <row r="127" spans="1:44" x14ac:dyDescent="0.25">
      <c r="A127" s="3"/>
      <c r="B127" s="5"/>
      <c r="C127" s="4"/>
      <c r="D127" s="5"/>
      <c r="E127" s="5"/>
      <c r="F127" s="4"/>
      <c r="G127" s="5"/>
      <c r="H127" s="5"/>
      <c r="I127" s="4"/>
      <c r="J127" s="5"/>
      <c r="K127" s="5"/>
      <c r="L127" s="4"/>
      <c r="M127" s="5"/>
      <c r="N127" s="5"/>
      <c r="O127" s="4"/>
      <c r="P127" s="5"/>
      <c r="Q127" s="4"/>
      <c r="R127" s="4"/>
      <c r="S127" s="5"/>
      <c r="T127" s="4"/>
      <c r="U127" s="4"/>
      <c r="V127" s="5"/>
      <c r="W127" s="4"/>
      <c r="X127" s="4"/>
      <c r="Y127" s="5"/>
      <c r="Z127" s="4"/>
      <c r="AA127" s="4"/>
      <c r="AB127" s="5"/>
      <c r="AC127" s="4"/>
      <c r="AD127" s="4"/>
      <c r="AE127" s="5"/>
      <c r="AF127" s="4"/>
      <c r="AG127" s="4"/>
      <c r="AH127" s="5"/>
      <c r="AI127" s="4"/>
      <c r="AJ127" s="4"/>
      <c r="AK127" s="5"/>
      <c r="AL127" s="5"/>
      <c r="AM127" s="5"/>
      <c r="AN127" s="5"/>
      <c r="AP127" s="5"/>
    </row>
    <row r="128" spans="1:44" x14ac:dyDescent="0.25">
      <c r="A128" s="3" t="s">
        <v>112</v>
      </c>
      <c r="B128" s="4"/>
      <c r="C128" s="4"/>
      <c r="D128" s="5">
        <f t="shared" si="24"/>
        <v>0</v>
      </c>
      <c r="E128" s="4"/>
      <c r="F128" s="4"/>
      <c r="G128" s="5">
        <f t="shared" si="25"/>
        <v>0</v>
      </c>
      <c r="H128" s="4"/>
      <c r="I128" s="4"/>
      <c r="J128" s="5">
        <f t="shared" si="26"/>
        <v>0</v>
      </c>
      <c r="K128" s="4"/>
      <c r="L128" s="4"/>
      <c r="M128" s="5">
        <f t="shared" si="27"/>
        <v>0</v>
      </c>
      <c r="N128" s="4"/>
      <c r="O128" s="4"/>
      <c r="P128" s="5">
        <f t="shared" si="28"/>
        <v>0</v>
      </c>
      <c r="Q128" s="4"/>
      <c r="R128" s="4"/>
      <c r="S128" s="5"/>
      <c r="T128" s="4"/>
      <c r="U128" s="4"/>
      <c r="V128" s="5"/>
      <c r="W128" s="4"/>
      <c r="X128" s="4"/>
      <c r="Y128" s="5"/>
      <c r="Z128" s="4"/>
      <c r="AA128" s="4"/>
      <c r="AB128" s="5"/>
      <c r="AC128" s="4"/>
      <c r="AD128" s="4"/>
      <c r="AE128" s="5"/>
      <c r="AF128" s="4"/>
      <c r="AG128" s="4"/>
      <c r="AH128" s="5"/>
      <c r="AI128" s="4"/>
      <c r="AJ128" s="4"/>
      <c r="AK128" s="5"/>
      <c r="AL128" s="5">
        <f t="shared" si="29"/>
        <v>0</v>
      </c>
      <c r="AM128" s="5">
        <f t="shared" si="30"/>
        <v>0</v>
      </c>
      <c r="AN128" s="5">
        <f t="shared" si="31"/>
        <v>0</v>
      </c>
      <c r="AP128" s="5">
        <v>0</v>
      </c>
    </row>
    <row r="129" spans="1:44" x14ac:dyDescent="0.25">
      <c r="A129" s="3" t="s">
        <v>113</v>
      </c>
      <c r="B129" s="5">
        <f>13701.75</f>
        <v>13701.75</v>
      </c>
      <c r="C129" s="4"/>
      <c r="D129" s="5">
        <f t="shared" si="24"/>
        <v>13701.75</v>
      </c>
      <c r="E129" s="4"/>
      <c r="F129" s="4"/>
      <c r="G129" s="5">
        <f t="shared" si="25"/>
        <v>0</v>
      </c>
      <c r="H129" s="4"/>
      <c r="I129" s="4"/>
      <c r="J129" s="5">
        <f t="shared" si="26"/>
        <v>0</v>
      </c>
      <c r="K129" s="4"/>
      <c r="L129" s="4"/>
      <c r="M129" s="5">
        <f t="shared" si="27"/>
        <v>0</v>
      </c>
      <c r="N129" s="5">
        <f>2506.88</f>
        <v>2506.88</v>
      </c>
      <c r="O129" s="4"/>
      <c r="P129" s="5">
        <f t="shared" si="28"/>
        <v>2506.88</v>
      </c>
      <c r="Q129" s="4"/>
      <c r="R129" s="4"/>
      <c r="S129" s="5"/>
      <c r="T129" s="4"/>
      <c r="U129" s="4"/>
      <c r="V129" s="5"/>
      <c r="W129" s="4"/>
      <c r="X129" s="4"/>
      <c r="Y129" s="5"/>
      <c r="Z129" s="4"/>
      <c r="AA129" s="4"/>
      <c r="AB129" s="5"/>
      <c r="AC129" s="4"/>
      <c r="AD129" s="4"/>
      <c r="AE129" s="5"/>
      <c r="AF129" s="4"/>
      <c r="AG129" s="4"/>
      <c r="AH129" s="5"/>
      <c r="AI129" s="4"/>
      <c r="AJ129" s="4"/>
      <c r="AK129" s="5"/>
      <c r="AL129" s="5">
        <f t="shared" si="29"/>
        <v>16208.630000000001</v>
      </c>
      <c r="AM129" s="5">
        <f t="shared" si="30"/>
        <v>0</v>
      </c>
      <c r="AN129" s="5">
        <f t="shared" si="31"/>
        <v>16208.630000000001</v>
      </c>
      <c r="AP129" s="5">
        <v>0</v>
      </c>
    </row>
    <row r="130" spans="1:44" ht="23.25" x14ac:dyDescent="0.25">
      <c r="A130" s="3" t="s">
        <v>114</v>
      </c>
      <c r="B130" s="6">
        <f>(B128)+(B129)</f>
        <v>13701.75</v>
      </c>
      <c r="C130" s="6">
        <f>(C128)+(C129)</f>
        <v>0</v>
      </c>
      <c r="D130" s="6">
        <f t="shared" si="24"/>
        <v>13701.75</v>
      </c>
      <c r="E130" s="6">
        <f>(E128)+(E129)</f>
        <v>0</v>
      </c>
      <c r="F130" s="6">
        <f>(F128)+(F129)</f>
        <v>0</v>
      </c>
      <c r="G130" s="6">
        <f t="shared" si="25"/>
        <v>0</v>
      </c>
      <c r="H130" s="6">
        <f>(H128)+(H129)</f>
        <v>0</v>
      </c>
      <c r="I130" s="6">
        <f>(I128)+(I129)</f>
        <v>0</v>
      </c>
      <c r="J130" s="6">
        <f t="shared" si="26"/>
        <v>0</v>
      </c>
      <c r="K130" s="6">
        <f>(K128)+(K129)</f>
        <v>0</v>
      </c>
      <c r="L130" s="6">
        <f>(L128)+(L129)</f>
        <v>0</v>
      </c>
      <c r="M130" s="6">
        <f t="shared" si="27"/>
        <v>0</v>
      </c>
      <c r="N130" s="6">
        <f>(N128)+(N129)</f>
        <v>2506.88</v>
      </c>
      <c r="O130" s="6">
        <f>(O128)+(O129)</f>
        <v>0</v>
      </c>
      <c r="P130" s="6">
        <f t="shared" si="28"/>
        <v>2506.88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>
        <f t="shared" si="29"/>
        <v>16208.630000000001</v>
      </c>
      <c r="AM130" s="6">
        <f t="shared" si="30"/>
        <v>0</v>
      </c>
      <c r="AN130" s="6">
        <f t="shared" si="31"/>
        <v>16208.630000000001</v>
      </c>
      <c r="AP130" s="6">
        <v>0</v>
      </c>
    </row>
    <row r="131" spans="1:44" x14ac:dyDescent="0.25">
      <c r="A131" s="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P131" s="7"/>
    </row>
    <row r="132" spans="1:44" x14ac:dyDescent="0.25">
      <c r="A132" s="3" t="s">
        <v>115</v>
      </c>
      <c r="B132" s="6">
        <f>(((B123)+(B125))+(B126))+(B130)</f>
        <v>123672.04000000001</v>
      </c>
      <c r="C132" s="6">
        <f>(((C123)+(C125))+(C126))+(C130)</f>
        <v>0</v>
      </c>
      <c r="D132" s="6">
        <f t="shared" si="24"/>
        <v>123672.04000000001</v>
      </c>
      <c r="E132" s="6">
        <f>(((E123)+(E125))+(E126))+(E130)</f>
        <v>59920.020000000004</v>
      </c>
      <c r="F132" s="6">
        <f>(((F123)+(F125))+(F126))+(F130)</f>
        <v>0</v>
      </c>
      <c r="G132" s="6">
        <f t="shared" si="25"/>
        <v>59920.020000000004</v>
      </c>
      <c r="H132" s="6">
        <f>(((H123)+(H125))+(H126))+(H130)</f>
        <v>31660.720000000001</v>
      </c>
      <c r="I132" s="6">
        <f>(((I123)+(I125))+(I126))+(I130)</f>
        <v>0</v>
      </c>
      <c r="J132" s="6">
        <f t="shared" si="26"/>
        <v>31660.720000000001</v>
      </c>
      <c r="K132" s="6">
        <f>(((K123)+(K125))+(K126))+(K130)</f>
        <v>82268.399999999994</v>
      </c>
      <c r="L132" s="6">
        <f>(((L123)+(L125))+(L126))+(L130)</f>
        <v>0</v>
      </c>
      <c r="M132" s="6">
        <f t="shared" si="27"/>
        <v>82268.399999999994</v>
      </c>
      <c r="N132" s="6">
        <f>(((N123)+(N125))+(N126))+(N130)</f>
        <v>-65909.2</v>
      </c>
      <c r="O132" s="6">
        <f>(((O123)+(O125))+(O126))+(O130)</f>
        <v>0</v>
      </c>
      <c r="P132" s="6">
        <f t="shared" si="28"/>
        <v>-65909.2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17">
        <f t="shared" si="29"/>
        <v>231611.97999999998</v>
      </c>
      <c r="AM132" s="17">
        <f t="shared" si="30"/>
        <v>0</v>
      </c>
      <c r="AN132" s="17">
        <f t="shared" si="31"/>
        <v>231611.97999999998</v>
      </c>
      <c r="AP132" s="17">
        <v>0</v>
      </c>
    </row>
    <row r="133" spans="1:44" x14ac:dyDescent="0.25">
      <c r="A133" s="3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P133" s="15"/>
    </row>
    <row r="134" spans="1:44" x14ac:dyDescent="0.25">
      <c r="A134" s="3" t="s">
        <v>116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P134" s="4"/>
    </row>
    <row r="135" spans="1:44" x14ac:dyDescent="0.25">
      <c r="A135" s="3" t="s">
        <v>117</v>
      </c>
      <c r="B135" s="4"/>
      <c r="C135" s="4"/>
      <c r="D135" s="5">
        <f t="shared" ref="D135:D157" si="32">(B135)-(C135)</f>
        <v>0</v>
      </c>
      <c r="E135" s="4"/>
      <c r="F135" s="4"/>
      <c r="G135" s="5">
        <f t="shared" ref="G135:G157" si="33">(E135)-(F135)</f>
        <v>0</v>
      </c>
      <c r="H135" s="4"/>
      <c r="I135" s="4"/>
      <c r="J135" s="5">
        <f t="shared" ref="J135:J157" si="34">(H135)-(I135)</f>
        <v>0</v>
      </c>
      <c r="K135" s="4"/>
      <c r="L135" s="4"/>
      <c r="M135" s="5">
        <f t="shared" ref="M135:M157" si="35">(K135)-(L135)</f>
        <v>0</v>
      </c>
      <c r="N135" s="4"/>
      <c r="O135" s="4"/>
      <c r="P135" s="5">
        <f t="shared" ref="P135:P157" si="36">(N135)-(O135)</f>
        <v>0</v>
      </c>
      <c r="Q135" s="4"/>
      <c r="R135" s="4"/>
      <c r="S135" s="5"/>
      <c r="T135" s="4"/>
      <c r="U135" s="4"/>
      <c r="V135" s="5"/>
      <c r="W135" s="4"/>
      <c r="X135" s="4"/>
      <c r="Y135" s="5"/>
      <c r="Z135" s="4"/>
      <c r="AA135" s="4"/>
      <c r="AB135" s="5"/>
      <c r="AC135" s="4"/>
      <c r="AD135" s="4"/>
      <c r="AE135" s="5"/>
      <c r="AF135" s="4"/>
      <c r="AG135" s="4"/>
      <c r="AH135" s="5"/>
      <c r="AI135" s="4"/>
      <c r="AJ135" s="4"/>
      <c r="AK135" s="5"/>
      <c r="AL135" s="5">
        <f t="shared" ref="AL135:AL157" si="37">(((((((((((B135)+(E135))+(H135))+(K135))+(N135))+(Q135))+(T135))+(W135))+(Z135))+(AC135))+(AF135))+(AI135)</f>
        <v>0</v>
      </c>
      <c r="AM135" s="5">
        <f t="shared" ref="AM135:AM157" si="38">(((((((((((C135)+(F135))+(I135))+(L135))+(O135))+(R135))+(U135))+(X135))+(AA135))+(AD135))+(AG135))+(AJ135)</f>
        <v>0</v>
      </c>
      <c r="AN135" s="5">
        <f t="shared" ref="AN135:AN157" si="39">(AL135)-(AM135)</f>
        <v>0</v>
      </c>
      <c r="AP135" s="5">
        <v>0</v>
      </c>
    </row>
    <row r="136" spans="1:44" x14ac:dyDescent="0.25">
      <c r="A136" s="3" t="s">
        <v>118</v>
      </c>
      <c r="B136" s="5">
        <f>4913.66</f>
        <v>4913.66</v>
      </c>
      <c r="C136" s="4"/>
      <c r="D136" s="5">
        <f t="shared" si="32"/>
        <v>4913.66</v>
      </c>
      <c r="E136" s="5">
        <f>0</f>
        <v>0</v>
      </c>
      <c r="F136" s="4"/>
      <c r="G136" s="5">
        <f t="shared" si="33"/>
        <v>0</v>
      </c>
      <c r="H136" s="5">
        <f>0</f>
        <v>0</v>
      </c>
      <c r="I136" s="4"/>
      <c r="J136" s="5">
        <f t="shared" si="34"/>
        <v>0</v>
      </c>
      <c r="K136" s="5">
        <f>5408.87</f>
        <v>5408.87</v>
      </c>
      <c r="L136" s="4"/>
      <c r="M136" s="5">
        <f t="shared" si="35"/>
        <v>5408.87</v>
      </c>
      <c r="N136" s="5">
        <f>0</f>
        <v>0</v>
      </c>
      <c r="O136" s="4"/>
      <c r="P136" s="5">
        <f t="shared" si="36"/>
        <v>0</v>
      </c>
      <c r="Q136" s="4"/>
      <c r="R136" s="4"/>
      <c r="S136" s="5"/>
      <c r="T136" s="4"/>
      <c r="U136" s="4"/>
      <c r="V136" s="5"/>
      <c r="W136" s="4"/>
      <c r="X136" s="4"/>
      <c r="Y136" s="5"/>
      <c r="Z136" s="4"/>
      <c r="AA136" s="4"/>
      <c r="AB136" s="5"/>
      <c r="AC136" s="4"/>
      <c r="AD136" s="4"/>
      <c r="AE136" s="5"/>
      <c r="AF136" s="4"/>
      <c r="AG136" s="4"/>
      <c r="AH136" s="5"/>
      <c r="AI136" s="4"/>
      <c r="AJ136" s="4"/>
      <c r="AK136" s="5"/>
      <c r="AL136" s="5">
        <f t="shared" si="37"/>
        <v>10322.529999999999</v>
      </c>
      <c r="AM136" s="5">
        <f t="shared" si="38"/>
        <v>0</v>
      </c>
      <c r="AN136" s="5">
        <f t="shared" si="39"/>
        <v>10322.529999999999</v>
      </c>
      <c r="AP136" s="5">
        <v>0</v>
      </c>
      <c r="AR136" s="10" t="s">
        <v>142</v>
      </c>
    </row>
    <row r="137" spans="1:44" x14ac:dyDescent="0.25">
      <c r="A137" s="3" t="s">
        <v>119</v>
      </c>
      <c r="B137" s="5">
        <f>11487</f>
        <v>11487</v>
      </c>
      <c r="C137" s="4"/>
      <c r="D137" s="5">
        <f t="shared" si="32"/>
        <v>11487</v>
      </c>
      <c r="E137" s="5">
        <f>11487</f>
        <v>11487</v>
      </c>
      <c r="F137" s="4"/>
      <c r="G137" s="5">
        <f t="shared" si="33"/>
        <v>11487</v>
      </c>
      <c r="H137" s="5">
        <f>11487</f>
        <v>11487</v>
      </c>
      <c r="I137" s="4"/>
      <c r="J137" s="5">
        <f t="shared" si="34"/>
        <v>11487</v>
      </c>
      <c r="K137" s="5">
        <f>11487</f>
        <v>11487</v>
      </c>
      <c r="L137" s="4"/>
      <c r="M137" s="5">
        <f t="shared" si="35"/>
        <v>11487</v>
      </c>
      <c r="N137" s="5">
        <f>22974</f>
        <v>22974</v>
      </c>
      <c r="O137" s="4"/>
      <c r="P137" s="5">
        <f t="shared" si="36"/>
        <v>22974</v>
      </c>
      <c r="Q137" s="4"/>
      <c r="R137" s="4"/>
      <c r="S137" s="5"/>
      <c r="T137" s="4"/>
      <c r="U137" s="4"/>
      <c r="V137" s="5"/>
      <c r="W137" s="4"/>
      <c r="X137" s="4"/>
      <c r="Y137" s="5"/>
      <c r="Z137" s="4"/>
      <c r="AA137" s="4"/>
      <c r="AB137" s="5"/>
      <c r="AC137" s="4"/>
      <c r="AD137" s="4"/>
      <c r="AE137" s="5"/>
      <c r="AF137" s="4"/>
      <c r="AG137" s="4"/>
      <c r="AH137" s="5"/>
      <c r="AI137" s="4"/>
      <c r="AJ137" s="4"/>
      <c r="AK137" s="5"/>
      <c r="AL137" s="5">
        <f t="shared" si="37"/>
        <v>68922</v>
      </c>
      <c r="AM137" s="5">
        <f t="shared" si="38"/>
        <v>0</v>
      </c>
      <c r="AN137" s="5">
        <f t="shared" si="39"/>
        <v>68922</v>
      </c>
      <c r="AP137" s="5">
        <v>0</v>
      </c>
      <c r="AR137" s="10" t="s">
        <v>143</v>
      </c>
    </row>
    <row r="138" spans="1:44" x14ac:dyDescent="0.25">
      <c r="A138" s="3" t="s">
        <v>120</v>
      </c>
      <c r="B138" s="6">
        <f>((B135)+(B136))+(B137)</f>
        <v>16400.66</v>
      </c>
      <c r="C138" s="6">
        <f>((C135)+(C136))+(C137)</f>
        <v>0</v>
      </c>
      <c r="D138" s="6">
        <f t="shared" si="32"/>
        <v>16400.66</v>
      </c>
      <c r="E138" s="6">
        <f>((E135)+(E136))+(E137)</f>
        <v>11487</v>
      </c>
      <c r="F138" s="6">
        <f>((F135)+(F136))+(F137)</f>
        <v>0</v>
      </c>
      <c r="G138" s="6">
        <f t="shared" si="33"/>
        <v>11487</v>
      </c>
      <c r="H138" s="6">
        <f>((H135)+(H136))+(H137)</f>
        <v>11487</v>
      </c>
      <c r="I138" s="6">
        <f>((I135)+(I136))+(I137)</f>
        <v>0</v>
      </c>
      <c r="J138" s="6">
        <f t="shared" si="34"/>
        <v>11487</v>
      </c>
      <c r="K138" s="6">
        <f>((K135)+(K136))+(K137)</f>
        <v>16895.87</v>
      </c>
      <c r="L138" s="6">
        <f>((L135)+(L136))+(L137)</f>
        <v>0</v>
      </c>
      <c r="M138" s="6">
        <f t="shared" si="35"/>
        <v>16895.87</v>
      </c>
      <c r="N138" s="6">
        <f>((N135)+(N136))+(N137)</f>
        <v>22974</v>
      </c>
      <c r="O138" s="6">
        <f>((O135)+(O136))+(O137)</f>
        <v>0</v>
      </c>
      <c r="P138" s="6">
        <f t="shared" si="36"/>
        <v>22974</v>
      </c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>
        <f t="shared" si="37"/>
        <v>79244.53</v>
      </c>
      <c r="AM138" s="6">
        <f t="shared" si="38"/>
        <v>0</v>
      </c>
      <c r="AN138" s="6">
        <f t="shared" si="39"/>
        <v>79244.53</v>
      </c>
      <c r="AP138" s="6">
        <v>0</v>
      </c>
    </row>
    <row r="139" spans="1:44" x14ac:dyDescent="0.25">
      <c r="A139" s="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P139" s="15"/>
    </row>
    <row r="140" spans="1:44" x14ac:dyDescent="0.25">
      <c r="A140" s="3" t="s">
        <v>121</v>
      </c>
      <c r="B140" s="4"/>
      <c r="C140" s="4"/>
      <c r="D140" s="5">
        <f t="shared" si="32"/>
        <v>0</v>
      </c>
      <c r="E140" s="4"/>
      <c r="F140" s="4"/>
      <c r="G140" s="5">
        <f t="shared" si="33"/>
        <v>0</v>
      </c>
      <c r="H140" s="4"/>
      <c r="I140" s="4"/>
      <c r="J140" s="5">
        <f t="shared" si="34"/>
        <v>0</v>
      </c>
      <c r="K140" s="4"/>
      <c r="L140" s="4"/>
      <c r="M140" s="5">
        <f t="shared" si="35"/>
        <v>0</v>
      </c>
      <c r="N140" s="4"/>
      <c r="O140" s="4"/>
      <c r="P140" s="5">
        <f t="shared" si="36"/>
        <v>0</v>
      </c>
      <c r="Q140" s="4"/>
      <c r="R140" s="4"/>
      <c r="S140" s="5"/>
      <c r="T140" s="4"/>
      <c r="U140" s="4"/>
      <c r="V140" s="5"/>
      <c r="W140" s="4"/>
      <c r="X140" s="4"/>
      <c r="Y140" s="5"/>
      <c r="Z140" s="4"/>
      <c r="AA140" s="4"/>
      <c r="AB140" s="5"/>
      <c r="AC140" s="4"/>
      <c r="AD140" s="4"/>
      <c r="AE140" s="5"/>
      <c r="AF140" s="4"/>
      <c r="AG140" s="4"/>
      <c r="AH140" s="5"/>
      <c r="AI140" s="4"/>
      <c r="AJ140" s="4"/>
      <c r="AK140" s="5"/>
      <c r="AL140" s="5">
        <f t="shared" si="37"/>
        <v>0</v>
      </c>
      <c r="AM140" s="5">
        <f t="shared" si="38"/>
        <v>0</v>
      </c>
      <c r="AN140" s="5">
        <f t="shared" si="39"/>
        <v>0</v>
      </c>
      <c r="AP140" s="5">
        <v>0</v>
      </c>
    </row>
    <row r="141" spans="1:44" x14ac:dyDescent="0.25">
      <c r="A141" s="3" t="s">
        <v>122</v>
      </c>
      <c r="B141" s="4"/>
      <c r="C141" s="4"/>
      <c r="D141" s="5">
        <f t="shared" si="32"/>
        <v>0</v>
      </c>
      <c r="E141" s="4"/>
      <c r="F141" s="4"/>
      <c r="G141" s="5">
        <f t="shared" si="33"/>
        <v>0</v>
      </c>
      <c r="H141" s="4"/>
      <c r="I141" s="4"/>
      <c r="J141" s="5">
        <f t="shared" si="34"/>
        <v>0</v>
      </c>
      <c r="K141" s="5">
        <f>17500</f>
        <v>17500</v>
      </c>
      <c r="L141" s="4"/>
      <c r="M141" s="5">
        <f t="shared" si="35"/>
        <v>17500</v>
      </c>
      <c r="N141" s="4"/>
      <c r="O141" s="4"/>
      <c r="P141" s="5">
        <f t="shared" si="36"/>
        <v>0</v>
      </c>
      <c r="Q141" s="4"/>
      <c r="R141" s="4"/>
      <c r="S141" s="5"/>
      <c r="T141" s="4"/>
      <c r="U141" s="4"/>
      <c r="V141" s="5"/>
      <c r="W141" s="4"/>
      <c r="X141" s="4"/>
      <c r="Y141" s="5"/>
      <c r="Z141" s="4"/>
      <c r="AA141" s="4"/>
      <c r="AB141" s="5"/>
      <c r="AC141" s="4"/>
      <c r="AD141" s="4"/>
      <c r="AE141" s="5"/>
      <c r="AF141" s="4"/>
      <c r="AG141" s="4"/>
      <c r="AH141" s="5"/>
      <c r="AI141" s="4"/>
      <c r="AJ141" s="4"/>
      <c r="AK141" s="5"/>
      <c r="AL141" s="5">
        <f t="shared" si="37"/>
        <v>17500</v>
      </c>
      <c r="AM141" s="5">
        <f t="shared" si="38"/>
        <v>0</v>
      </c>
      <c r="AN141" s="5">
        <f t="shared" si="39"/>
        <v>17500</v>
      </c>
      <c r="AP141" s="5">
        <v>0</v>
      </c>
    </row>
    <row r="142" spans="1:44" x14ac:dyDescent="0.25">
      <c r="A142" s="3" t="s">
        <v>123</v>
      </c>
      <c r="B142" s="5">
        <f>1050</f>
        <v>1050</v>
      </c>
      <c r="C142" s="4"/>
      <c r="D142" s="5">
        <f t="shared" si="32"/>
        <v>1050</v>
      </c>
      <c r="E142" s="5">
        <f>800</f>
        <v>800</v>
      </c>
      <c r="F142" s="4"/>
      <c r="G142" s="5">
        <f t="shared" si="33"/>
        <v>800</v>
      </c>
      <c r="H142" s="5">
        <f>1350</f>
        <v>1350</v>
      </c>
      <c r="I142" s="4"/>
      <c r="J142" s="5">
        <f t="shared" si="34"/>
        <v>1350</v>
      </c>
      <c r="K142" s="5">
        <f>630</f>
        <v>630</v>
      </c>
      <c r="L142" s="4"/>
      <c r="M142" s="5">
        <f t="shared" si="35"/>
        <v>630</v>
      </c>
      <c r="N142" s="5">
        <f>3630</f>
        <v>3630</v>
      </c>
      <c r="O142" s="4"/>
      <c r="P142" s="5">
        <f t="shared" si="36"/>
        <v>3630</v>
      </c>
      <c r="Q142" s="4"/>
      <c r="R142" s="4"/>
      <c r="S142" s="5"/>
      <c r="T142" s="4"/>
      <c r="U142" s="4"/>
      <c r="V142" s="5"/>
      <c r="W142" s="4"/>
      <c r="X142" s="4"/>
      <c r="Y142" s="5"/>
      <c r="Z142" s="4"/>
      <c r="AA142" s="4"/>
      <c r="AB142" s="5"/>
      <c r="AC142" s="4"/>
      <c r="AD142" s="4"/>
      <c r="AE142" s="5"/>
      <c r="AF142" s="4"/>
      <c r="AG142" s="4"/>
      <c r="AH142" s="5"/>
      <c r="AI142" s="4"/>
      <c r="AJ142" s="4"/>
      <c r="AK142" s="5"/>
      <c r="AL142" s="5">
        <f t="shared" si="37"/>
        <v>7460</v>
      </c>
      <c r="AM142" s="5">
        <f t="shared" si="38"/>
        <v>0</v>
      </c>
      <c r="AN142" s="5">
        <f t="shared" si="39"/>
        <v>7460</v>
      </c>
      <c r="AP142" s="5">
        <v>0</v>
      </c>
    </row>
    <row r="143" spans="1:44" ht="23.25" x14ac:dyDescent="0.25">
      <c r="A143" s="3" t="s">
        <v>124</v>
      </c>
      <c r="B143" s="6">
        <f>((B140)+(B141))+(B142)</f>
        <v>1050</v>
      </c>
      <c r="C143" s="6">
        <f>((C140)+(C141))+(C142)</f>
        <v>0</v>
      </c>
      <c r="D143" s="6">
        <f t="shared" si="32"/>
        <v>1050</v>
      </c>
      <c r="E143" s="6">
        <f>((E140)+(E141))+(E142)</f>
        <v>800</v>
      </c>
      <c r="F143" s="6">
        <f>((F140)+(F141))+(F142)</f>
        <v>0</v>
      </c>
      <c r="G143" s="6">
        <f t="shared" si="33"/>
        <v>800</v>
      </c>
      <c r="H143" s="6">
        <f>((H140)+(H141))+(H142)</f>
        <v>1350</v>
      </c>
      <c r="I143" s="6">
        <f>((I140)+(I141))+(I142)</f>
        <v>0</v>
      </c>
      <c r="J143" s="6">
        <f t="shared" si="34"/>
        <v>1350</v>
      </c>
      <c r="K143" s="6">
        <f>((K140)+(K141))+(K142)</f>
        <v>18130</v>
      </c>
      <c r="L143" s="6">
        <f>((L140)+(L141))+(L142)</f>
        <v>0</v>
      </c>
      <c r="M143" s="6">
        <f t="shared" si="35"/>
        <v>18130</v>
      </c>
      <c r="N143" s="6">
        <f>((N140)+(N141))+(N142)</f>
        <v>3630</v>
      </c>
      <c r="O143" s="6">
        <f>((O140)+(O141))+(O142)</f>
        <v>0</v>
      </c>
      <c r="P143" s="6">
        <f t="shared" si="36"/>
        <v>3630</v>
      </c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>
        <f t="shared" si="37"/>
        <v>24960</v>
      </c>
      <c r="AM143" s="6">
        <f t="shared" si="38"/>
        <v>0</v>
      </c>
      <c r="AN143" s="6">
        <f t="shared" si="39"/>
        <v>24960</v>
      </c>
      <c r="AP143" s="6">
        <v>0</v>
      </c>
    </row>
    <row r="144" spans="1:44" x14ac:dyDescent="0.25">
      <c r="A144" s="3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P144" s="15"/>
    </row>
    <row r="145" spans="1:42" x14ac:dyDescent="0.25">
      <c r="A145" s="3" t="s">
        <v>125</v>
      </c>
      <c r="B145" s="4"/>
      <c r="C145" s="4"/>
      <c r="D145" s="5">
        <f t="shared" si="32"/>
        <v>0</v>
      </c>
      <c r="E145" s="4"/>
      <c r="F145" s="4"/>
      <c r="G145" s="5">
        <f t="shared" si="33"/>
        <v>0</v>
      </c>
      <c r="H145" s="4"/>
      <c r="I145" s="4"/>
      <c r="J145" s="5">
        <f t="shared" si="34"/>
        <v>0</v>
      </c>
      <c r="K145" s="4"/>
      <c r="L145" s="4"/>
      <c r="M145" s="5">
        <f t="shared" si="35"/>
        <v>0</v>
      </c>
      <c r="N145" s="4"/>
      <c r="O145" s="4"/>
      <c r="P145" s="5">
        <f t="shared" si="36"/>
        <v>0</v>
      </c>
      <c r="Q145" s="4"/>
      <c r="R145" s="4"/>
      <c r="S145" s="5"/>
      <c r="T145" s="4"/>
      <c r="U145" s="4"/>
      <c r="V145" s="5"/>
      <c r="W145" s="4"/>
      <c r="X145" s="4"/>
      <c r="Y145" s="5"/>
      <c r="Z145" s="4"/>
      <c r="AA145" s="4"/>
      <c r="AB145" s="5"/>
      <c r="AC145" s="4"/>
      <c r="AD145" s="4"/>
      <c r="AE145" s="5"/>
      <c r="AF145" s="4"/>
      <c r="AG145" s="4"/>
      <c r="AH145" s="5"/>
      <c r="AI145" s="4"/>
      <c r="AJ145" s="4"/>
      <c r="AK145" s="5"/>
      <c r="AL145" s="5">
        <f t="shared" si="37"/>
        <v>0</v>
      </c>
      <c r="AM145" s="5">
        <f t="shared" si="38"/>
        <v>0</v>
      </c>
      <c r="AN145" s="5">
        <f t="shared" si="39"/>
        <v>0</v>
      </c>
      <c r="AP145" s="5">
        <v>0</v>
      </c>
    </row>
    <row r="146" spans="1:42" x14ac:dyDescent="0.25">
      <c r="A146" s="3" t="s">
        <v>126</v>
      </c>
      <c r="B146" s="4"/>
      <c r="C146" s="4"/>
      <c r="D146" s="5">
        <f t="shared" si="32"/>
        <v>0</v>
      </c>
      <c r="E146" s="4"/>
      <c r="F146" s="4"/>
      <c r="G146" s="5">
        <f t="shared" si="33"/>
        <v>0</v>
      </c>
      <c r="H146" s="4"/>
      <c r="I146" s="4"/>
      <c r="J146" s="5">
        <f t="shared" si="34"/>
        <v>0</v>
      </c>
      <c r="K146" s="4"/>
      <c r="L146" s="4"/>
      <c r="M146" s="5">
        <f t="shared" si="35"/>
        <v>0</v>
      </c>
      <c r="N146" s="4"/>
      <c r="O146" s="4"/>
      <c r="P146" s="5">
        <f t="shared" si="36"/>
        <v>0</v>
      </c>
      <c r="Q146" s="4"/>
      <c r="R146" s="4"/>
      <c r="S146" s="5"/>
      <c r="T146" s="4"/>
      <c r="U146" s="4"/>
      <c r="V146" s="5"/>
      <c r="W146" s="4"/>
      <c r="X146" s="4"/>
      <c r="Y146" s="5"/>
      <c r="Z146" s="4"/>
      <c r="AA146" s="4"/>
      <c r="AB146" s="5"/>
      <c r="AC146" s="4"/>
      <c r="AD146" s="4"/>
      <c r="AE146" s="5"/>
      <c r="AF146" s="4"/>
      <c r="AG146" s="4"/>
      <c r="AH146" s="5"/>
      <c r="AI146" s="4"/>
      <c r="AJ146" s="4"/>
      <c r="AK146" s="5"/>
      <c r="AL146" s="5">
        <f t="shared" si="37"/>
        <v>0</v>
      </c>
      <c r="AM146" s="5">
        <f t="shared" si="38"/>
        <v>0</v>
      </c>
      <c r="AN146" s="5">
        <f t="shared" si="39"/>
        <v>0</v>
      </c>
      <c r="AP146" s="5">
        <v>0</v>
      </c>
    </row>
    <row r="147" spans="1:42" x14ac:dyDescent="0.25">
      <c r="A147" s="3" t="s">
        <v>127</v>
      </c>
      <c r="B147" s="4"/>
      <c r="C147" s="4"/>
      <c r="D147" s="5">
        <f t="shared" si="32"/>
        <v>0</v>
      </c>
      <c r="E147" s="5">
        <f>5443.75</f>
        <v>5443.75</v>
      </c>
      <c r="F147" s="4"/>
      <c r="G147" s="5">
        <f t="shared" si="33"/>
        <v>5443.75</v>
      </c>
      <c r="H147" s="5">
        <f>4488</f>
        <v>4488</v>
      </c>
      <c r="I147" s="4"/>
      <c r="J147" s="5">
        <f t="shared" si="34"/>
        <v>4488</v>
      </c>
      <c r="K147" s="5">
        <f>3770</f>
        <v>3770</v>
      </c>
      <c r="L147" s="4"/>
      <c r="M147" s="5">
        <f t="shared" si="35"/>
        <v>3770</v>
      </c>
      <c r="N147" s="4"/>
      <c r="O147" s="4"/>
      <c r="P147" s="5">
        <f t="shared" si="36"/>
        <v>0</v>
      </c>
      <c r="Q147" s="4"/>
      <c r="R147" s="4"/>
      <c r="S147" s="5"/>
      <c r="T147" s="4"/>
      <c r="U147" s="4"/>
      <c r="V147" s="5"/>
      <c r="W147" s="4"/>
      <c r="X147" s="4"/>
      <c r="Y147" s="5"/>
      <c r="Z147" s="4"/>
      <c r="AA147" s="4"/>
      <c r="AB147" s="5"/>
      <c r="AC147" s="4"/>
      <c r="AD147" s="4"/>
      <c r="AE147" s="5"/>
      <c r="AF147" s="4"/>
      <c r="AG147" s="4"/>
      <c r="AH147" s="5"/>
      <c r="AI147" s="4"/>
      <c r="AJ147" s="4"/>
      <c r="AK147" s="5"/>
      <c r="AL147" s="5">
        <f t="shared" si="37"/>
        <v>13701.75</v>
      </c>
      <c r="AM147" s="5">
        <f t="shared" si="38"/>
        <v>0</v>
      </c>
      <c r="AN147" s="5">
        <f t="shared" si="39"/>
        <v>13701.75</v>
      </c>
      <c r="AP147" s="5">
        <v>0</v>
      </c>
    </row>
    <row r="148" spans="1:42" x14ac:dyDescent="0.25">
      <c r="A148" s="3" t="s">
        <v>128</v>
      </c>
      <c r="B148" s="4"/>
      <c r="C148" s="4"/>
      <c r="D148" s="5">
        <f t="shared" si="32"/>
        <v>0</v>
      </c>
      <c r="E148" s="4"/>
      <c r="F148" s="4"/>
      <c r="G148" s="5">
        <f t="shared" si="33"/>
        <v>0</v>
      </c>
      <c r="H148" s="4"/>
      <c r="I148" s="4"/>
      <c r="J148" s="5">
        <f t="shared" si="34"/>
        <v>0</v>
      </c>
      <c r="K148" s="4"/>
      <c r="L148" s="4"/>
      <c r="M148" s="5">
        <f t="shared" si="35"/>
        <v>0</v>
      </c>
      <c r="N148" s="5">
        <f>2506.88</f>
        <v>2506.88</v>
      </c>
      <c r="O148" s="4"/>
      <c r="P148" s="5">
        <f t="shared" si="36"/>
        <v>2506.88</v>
      </c>
      <c r="Q148" s="4"/>
      <c r="R148" s="4"/>
      <c r="S148" s="5"/>
      <c r="T148" s="4"/>
      <c r="U148" s="4"/>
      <c r="V148" s="5"/>
      <c r="W148" s="4"/>
      <c r="X148" s="4"/>
      <c r="Y148" s="5"/>
      <c r="Z148" s="4"/>
      <c r="AA148" s="4"/>
      <c r="AB148" s="5"/>
      <c r="AC148" s="4"/>
      <c r="AD148" s="4"/>
      <c r="AE148" s="5"/>
      <c r="AF148" s="4"/>
      <c r="AG148" s="4"/>
      <c r="AH148" s="5"/>
      <c r="AI148" s="4"/>
      <c r="AJ148" s="4"/>
      <c r="AK148" s="5"/>
      <c r="AL148" s="5">
        <f t="shared" si="37"/>
        <v>2506.88</v>
      </c>
      <c r="AM148" s="5">
        <f t="shared" si="38"/>
        <v>0</v>
      </c>
      <c r="AN148" s="5">
        <f t="shared" si="39"/>
        <v>2506.88</v>
      </c>
      <c r="AP148" s="5">
        <v>0</v>
      </c>
    </row>
    <row r="149" spans="1:42" x14ac:dyDescent="0.25">
      <c r="A149" s="3" t="s">
        <v>129</v>
      </c>
      <c r="B149" s="6">
        <f>((B146)+(B147))+(B148)</f>
        <v>0</v>
      </c>
      <c r="C149" s="6">
        <f>((C146)+(C147))+(C148)</f>
        <v>0</v>
      </c>
      <c r="D149" s="6">
        <f t="shared" si="32"/>
        <v>0</v>
      </c>
      <c r="E149" s="6">
        <f>((E146)+(E147))+(E148)</f>
        <v>5443.75</v>
      </c>
      <c r="F149" s="6">
        <f>((F146)+(F147))+(F148)</f>
        <v>0</v>
      </c>
      <c r="G149" s="6">
        <f t="shared" si="33"/>
        <v>5443.75</v>
      </c>
      <c r="H149" s="6">
        <f>((H146)+(H147))+(H148)</f>
        <v>4488</v>
      </c>
      <c r="I149" s="6">
        <f>((I146)+(I147))+(I148)</f>
        <v>0</v>
      </c>
      <c r="J149" s="6">
        <f t="shared" si="34"/>
        <v>4488</v>
      </c>
      <c r="K149" s="6">
        <f>((K146)+(K147))+(K148)</f>
        <v>3770</v>
      </c>
      <c r="L149" s="6">
        <f>((L146)+(L147))+(L148)</f>
        <v>0</v>
      </c>
      <c r="M149" s="6">
        <f t="shared" si="35"/>
        <v>3770</v>
      </c>
      <c r="N149" s="6">
        <f>((N146)+(N147))+(N148)</f>
        <v>2506.88</v>
      </c>
      <c r="O149" s="6">
        <f>((O146)+(O147))+(O148)</f>
        <v>0</v>
      </c>
      <c r="P149" s="6">
        <f t="shared" si="36"/>
        <v>2506.88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>
        <f t="shared" si="37"/>
        <v>16208.630000000001</v>
      </c>
      <c r="AM149" s="6">
        <f t="shared" si="38"/>
        <v>0</v>
      </c>
      <c r="AN149" s="6">
        <f t="shared" si="39"/>
        <v>16208.630000000001</v>
      </c>
      <c r="AP149" s="6">
        <v>0</v>
      </c>
    </row>
    <row r="150" spans="1:42" x14ac:dyDescent="0.25">
      <c r="A150" s="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P150" s="7"/>
    </row>
    <row r="151" spans="1:42" x14ac:dyDescent="0.25">
      <c r="A151" s="3" t="s">
        <v>130</v>
      </c>
      <c r="B151" s="6">
        <f>(B145)+(B149)</f>
        <v>0</v>
      </c>
      <c r="C151" s="6">
        <f>(C145)+(C149)</f>
        <v>0</v>
      </c>
      <c r="D151" s="6">
        <f t="shared" si="32"/>
        <v>0</v>
      </c>
      <c r="E151" s="6">
        <f>(E145)+(E149)</f>
        <v>5443.75</v>
      </c>
      <c r="F151" s="6">
        <f>(F145)+(F149)</f>
        <v>0</v>
      </c>
      <c r="G151" s="6">
        <f t="shared" si="33"/>
        <v>5443.75</v>
      </c>
      <c r="H151" s="6">
        <f>(H145)+(H149)</f>
        <v>4488</v>
      </c>
      <c r="I151" s="6">
        <f>(I145)+(I149)</f>
        <v>0</v>
      </c>
      <c r="J151" s="6">
        <f t="shared" si="34"/>
        <v>4488</v>
      </c>
      <c r="K151" s="6">
        <f>(K145)+(K149)</f>
        <v>3770</v>
      </c>
      <c r="L151" s="6">
        <f>(L145)+(L149)</f>
        <v>0</v>
      </c>
      <c r="M151" s="6">
        <f t="shared" si="35"/>
        <v>3770</v>
      </c>
      <c r="N151" s="6">
        <f>(N145)+(N149)</f>
        <v>2506.88</v>
      </c>
      <c r="O151" s="6">
        <f>(O145)+(O149)</f>
        <v>0</v>
      </c>
      <c r="P151" s="6">
        <f t="shared" si="36"/>
        <v>2506.88</v>
      </c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>
        <f t="shared" si="37"/>
        <v>16208.630000000001</v>
      </c>
      <c r="AM151" s="6">
        <f t="shared" si="38"/>
        <v>0</v>
      </c>
      <c r="AN151" s="6">
        <f t="shared" si="39"/>
        <v>16208.630000000001</v>
      </c>
      <c r="AP151" s="6">
        <v>0</v>
      </c>
    </row>
    <row r="152" spans="1:42" x14ac:dyDescent="0.25">
      <c r="A152" s="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P152" s="7"/>
    </row>
    <row r="153" spans="1:42" x14ac:dyDescent="0.25">
      <c r="A153" s="3" t="s">
        <v>131</v>
      </c>
      <c r="B153" s="6">
        <f>((B138)+(B143))+(B151)</f>
        <v>17450.66</v>
      </c>
      <c r="C153" s="6">
        <f>((C138)+(C143))+(C151)</f>
        <v>0</v>
      </c>
      <c r="D153" s="6">
        <f t="shared" si="32"/>
        <v>17450.66</v>
      </c>
      <c r="E153" s="6">
        <f>((E138)+(E143))+(E151)</f>
        <v>17730.75</v>
      </c>
      <c r="F153" s="6">
        <f>((F138)+(F143))+(F151)</f>
        <v>0</v>
      </c>
      <c r="G153" s="6">
        <f t="shared" si="33"/>
        <v>17730.75</v>
      </c>
      <c r="H153" s="6">
        <f>((H138)+(H143))+(H151)</f>
        <v>17325</v>
      </c>
      <c r="I153" s="6">
        <f>((I138)+(I143))+(I151)</f>
        <v>0</v>
      </c>
      <c r="J153" s="6">
        <f t="shared" si="34"/>
        <v>17325</v>
      </c>
      <c r="K153" s="6">
        <f>((K138)+(K143))+(K151)</f>
        <v>38795.869999999995</v>
      </c>
      <c r="L153" s="6">
        <f>((L138)+(L143))+(L151)</f>
        <v>0</v>
      </c>
      <c r="M153" s="6">
        <f t="shared" si="35"/>
        <v>38795.869999999995</v>
      </c>
      <c r="N153" s="6">
        <f>((N138)+(N143))+(N151)</f>
        <v>29110.880000000001</v>
      </c>
      <c r="O153" s="6">
        <f>((O138)+(O143))+(O151)</f>
        <v>0</v>
      </c>
      <c r="P153" s="6">
        <f t="shared" si="36"/>
        <v>29110.880000000001</v>
      </c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>
        <f t="shared" si="37"/>
        <v>120413.16</v>
      </c>
      <c r="AM153" s="6">
        <f t="shared" si="38"/>
        <v>0</v>
      </c>
      <c r="AN153" s="6">
        <f t="shared" si="39"/>
        <v>120413.16</v>
      </c>
      <c r="AP153" s="6">
        <v>0</v>
      </c>
    </row>
    <row r="154" spans="1:42" x14ac:dyDescent="0.25">
      <c r="A154" s="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P154" s="7"/>
    </row>
    <row r="155" spans="1:42" x14ac:dyDescent="0.25">
      <c r="A155" s="3" t="s">
        <v>132</v>
      </c>
      <c r="B155" s="6">
        <f>(B132)-(B153)</f>
        <v>106221.38</v>
      </c>
      <c r="C155" s="6">
        <f>(C132)-(C153)</f>
        <v>0</v>
      </c>
      <c r="D155" s="6">
        <f t="shared" si="32"/>
        <v>106221.38</v>
      </c>
      <c r="E155" s="6">
        <f>(E132)-(E153)</f>
        <v>42189.270000000004</v>
      </c>
      <c r="F155" s="6">
        <f>(F132)-(F153)</f>
        <v>0</v>
      </c>
      <c r="G155" s="6">
        <f t="shared" si="33"/>
        <v>42189.270000000004</v>
      </c>
      <c r="H155" s="6">
        <f>(H132)-(H153)</f>
        <v>14335.720000000001</v>
      </c>
      <c r="I155" s="6">
        <f>(I132)-(I153)</f>
        <v>0</v>
      </c>
      <c r="J155" s="6">
        <f t="shared" si="34"/>
        <v>14335.720000000001</v>
      </c>
      <c r="K155" s="6">
        <f>(K132)-(K153)</f>
        <v>43472.53</v>
      </c>
      <c r="L155" s="6">
        <f>(L132)-(L153)</f>
        <v>0</v>
      </c>
      <c r="M155" s="6">
        <f t="shared" si="35"/>
        <v>43472.53</v>
      </c>
      <c r="N155" s="6">
        <f>(N132)-(N153)</f>
        <v>-95020.08</v>
      </c>
      <c r="O155" s="6">
        <f>(O132)-(O153)</f>
        <v>0</v>
      </c>
      <c r="P155" s="6">
        <f t="shared" si="36"/>
        <v>-95020.08</v>
      </c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>
        <f t="shared" si="37"/>
        <v>111198.82000000002</v>
      </c>
      <c r="AM155" s="6">
        <f t="shared" si="38"/>
        <v>0</v>
      </c>
      <c r="AN155" s="6">
        <f t="shared" si="39"/>
        <v>111198.82000000002</v>
      </c>
      <c r="AP155" s="6">
        <v>0</v>
      </c>
    </row>
    <row r="156" spans="1:42" x14ac:dyDescent="0.25">
      <c r="A156" s="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P156" s="7"/>
    </row>
    <row r="157" spans="1:42" ht="15.75" thickBot="1" x14ac:dyDescent="0.3">
      <c r="A157" s="3" t="s">
        <v>133</v>
      </c>
      <c r="B157" s="7">
        <f>(B116)+(B155)</f>
        <v>119697.19</v>
      </c>
      <c r="C157" s="7">
        <f>(C116)+(C155)</f>
        <v>-1595.4000000000015</v>
      </c>
      <c r="D157" s="7">
        <f t="shared" si="32"/>
        <v>121292.59</v>
      </c>
      <c r="E157" s="7">
        <f>(E116)+(E155)</f>
        <v>32547.760000000002</v>
      </c>
      <c r="F157" s="7">
        <f>(F116)+(F155)</f>
        <v>-24310.400000000001</v>
      </c>
      <c r="G157" s="7">
        <f t="shared" si="33"/>
        <v>56858.16</v>
      </c>
      <c r="H157" s="7">
        <f>(H116)+(H155)</f>
        <v>180.78000000000247</v>
      </c>
      <c r="I157" s="7">
        <f>(I116)+(I155)</f>
        <v>-24920.399999999994</v>
      </c>
      <c r="J157" s="7">
        <f t="shared" si="34"/>
        <v>25101.179999999997</v>
      </c>
      <c r="K157" s="7">
        <f>(K116)+(K155)</f>
        <v>42542.689999999995</v>
      </c>
      <c r="L157" s="7">
        <f>(L116)+(L155)</f>
        <v>5085.6000000000058</v>
      </c>
      <c r="M157" s="7">
        <f t="shared" si="35"/>
        <v>37457.089999999989</v>
      </c>
      <c r="N157" s="7">
        <f>(N116)+(N155)</f>
        <v>-78268.889999999985</v>
      </c>
      <c r="O157" s="7">
        <f>(O116)+(O155)</f>
        <v>34559.599999999999</v>
      </c>
      <c r="P157" s="7">
        <f t="shared" si="36"/>
        <v>-112828.48999999999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16">
        <f t="shared" si="37"/>
        <v>116699.53000000003</v>
      </c>
      <c r="AM157" s="16">
        <f t="shared" si="38"/>
        <v>-11180.999999999993</v>
      </c>
      <c r="AN157" s="16">
        <f t="shared" si="39"/>
        <v>127880.53000000003</v>
      </c>
      <c r="AP157" s="16">
        <v>1221.2000000000189</v>
      </c>
    </row>
    <row r="158" spans="1:42" ht="15.75" thickTop="1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P158" s="4"/>
    </row>
  </sheetData>
  <mergeCells count="13">
    <mergeCell ref="AF5:AH5"/>
    <mergeCell ref="AI5:AK5"/>
    <mergeCell ref="AL5:AN5"/>
    <mergeCell ref="Q5:S5"/>
    <mergeCell ref="T5:V5"/>
    <mergeCell ref="W5:Y5"/>
    <mergeCell ref="Z5:AB5"/>
    <mergeCell ref="AC5:AE5"/>
    <mergeCell ref="B5:D5"/>
    <mergeCell ref="E5:G5"/>
    <mergeCell ref="H5:J5"/>
    <mergeCell ref="K5:M5"/>
    <mergeCell ref="N5:P5"/>
  </mergeCells>
  <printOptions horizontalCentered="1"/>
  <pageMargins left="0.2" right="0.2" top="0.75" bottom="0.75" header="0.3" footer="0.3"/>
  <pageSetup scale="75" orientation="portrait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Rush</cp:lastModifiedBy>
  <cp:lastPrinted>2019-06-07T20:42:01Z</cp:lastPrinted>
  <dcterms:created xsi:type="dcterms:W3CDTF">2019-06-07T20:08:19Z</dcterms:created>
  <dcterms:modified xsi:type="dcterms:W3CDTF">2019-07-09T19:26:52Z</dcterms:modified>
</cp:coreProperties>
</file>