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cuments\Bishop Anderson House\Financials 2018\"/>
    </mc:Choice>
  </mc:AlternateContent>
  <bookViews>
    <workbookView xWindow="0" yWindow="0" windowWidth="19050" windowHeight="4155"/>
  </bookViews>
  <sheets>
    <sheet name="Budget vs. Actuals" sheetId="1" r:id="rId1"/>
  </sheets>
  <definedNames>
    <definedName name="_xlnm.Print_Titles" localSheetId="0">'Budget vs. Actuals'!$1:$6</definedName>
  </definedNames>
  <calcPr calcId="152511"/>
</workbook>
</file>

<file path=xl/calcChain.xml><?xml version="1.0" encoding="utf-8"?>
<calcChain xmlns="http://schemas.openxmlformats.org/spreadsheetml/2006/main">
  <c r="AL43" i="1" l="1"/>
  <c r="R137" i="1" l="1"/>
  <c r="O137" i="1"/>
  <c r="L137" i="1"/>
  <c r="I137" i="1"/>
  <c r="F137" i="1"/>
  <c r="C137" i="1"/>
  <c r="AM136" i="1"/>
  <c r="S136" i="1"/>
  <c r="N136" i="1"/>
  <c r="AL136" i="1" s="1"/>
  <c r="M136" i="1"/>
  <c r="J136" i="1"/>
  <c r="G136" i="1"/>
  <c r="D136" i="1"/>
  <c r="AM135" i="1"/>
  <c r="S135" i="1"/>
  <c r="P135" i="1"/>
  <c r="M135" i="1"/>
  <c r="H135" i="1"/>
  <c r="J135" i="1" s="1"/>
  <c r="E135" i="1"/>
  <c r="G135" i="1" s="1"/>
  <c r="B135" i="1"/>
  <c r="D135" i="1" s="1"/>
  <c r="AM134" i="1"/>
  <c r="Q134" i="1"/>
  <c r="AL134" i="1" s="1"/>
  <c r="P134" i="1"/>
  <c r="N134" i="1"/>
  <c r="M134" i="1"/>
  <c r="J134" i="1"/>
  <c r="G134" i="1"/>
  <c r="E134" i="1"/>
  <c r="D134" i="1"/>
  <c r="AM133" i="1"/>
  <c r="S133" i="1"/>
  <c r="Q133" i="1"/>
  <c r="AL133" i="1" s="1"/>
  <c r="P133" i="1"/>
  <c r="M133" i="1"/>
  <c r="J133" i="1"/>
  <c r="G133" i="1"/>
  <c r="D133" i="1"/>
  <c r="AM132" i="1"/>
  <c r="Q132" i="1"/>
  <c r="Q137" i="1" s="1"/>
  <c r="S137" i="1" s="1"/>
  <c r="N132" i="1"/>
  <c r="M132" i="1"/>
  <c r="K132" i="1"/>
  <c r="K137" i="1" s="1"/>
  <c r="H132" i="1"/>
  <c r="H137" i="1" s="1"/>
  <c r="J137" i="1" s="1"/>
  <c r="G132" i="1"/>
  <c r="E132" i="1"/>
  <c r="D132" i="1"/>
  <c r="AM131" i="1"/>
  <c r="AL131" i="1"/>
  <c r="S131" i="1"/>
  <c r="P131" i="1"/>
  <c r="M131" i="1"/>
  <c r="J131" i="1"/>
  <c r="G131" i="1"/>
  <c r="D131" i="1"/>
  <c r="R129" i="1"/>
  <c r="O129" i="1"/>
  <c r="L129" i="1"/>
  <c r="I129" i="1"/>
  <c r="F129" i="1"/>
  <c r="C129" i="1"/>
  <c r="AM128" i="1"/>
  <c r="Q128" i="1"/>
  <c r="S128" i="1" s="1"/>
  <c r="N128" i="1"/>
  <c r="P128" i="1" s="1"/>
  <c r="K128" i="1"/>
  <c r="M128" i="1" s="1"/>
  <c r="H128" i="1"/>
  <c r="J128" i="1" s="1"/>
  <c r="E128" i="1"/>
  <c r="B128" i="1"/>
  <c r="D128" i="1" s="1"/>
  <c r="AM127" i="1"/>
  <c r="Q127" i="1"/>
  <c r="S127" i="1" s="1"/>
  <c r="N127" i="1"/>
  <c r="P127" i="1" s="1"/>
  <c r="K127" i="1"/>
  <c r="K129" i="1" s="1"/>
  <c r="M129" i="1" s="1"/>
  <c r="H127" i="1"/>
  <c r="J127" i="1" s="1"/>
  <c r="G127" i="1"/>
  <c r="D127" i="1"/>
  <c r="AM126" i="1"/>
  <c r="AL126" i="1"/>
  <c r="S126" i="1"/>
  <c r="P126" i="1"/>
  <c r="M126" i="1"/>
  <c r="J126" i="1"/>
  <c r="G126" i="1"/>
  <c r="D126" i="1"/>
  <c r="R124" i="1"/>
  <c r="R139" i="1" s="1"/>
  <c r="Q124" i="1"/>
  <c r="O124" i="1"/>
  <c r="L124" i="1"/>
  <c r="I124" i="1"/>
  <c r="I139" i="1" s="1"/>
  <c r="F124" i="1"/>
  <c r="F139" i="1" s="1"/>
  <c r="C124" i="1"/>
  <c r="AM123" i="1"/>
  <c r="Q123" i="1"/>
  <c r="S123" i="1" s="1"/>
  <c r="N123" i="1"/>
  <c r="P123" i="1" s="1"/>
  <c r="K123" i="1"/>
  <c r="M123" i="1" s="1"/>
  <c r="H123" i="1"/>
  <c r="J123" i="1" s="1"/>
  <c r="G123" i="1"/>
  <c r="E123" i="1"/>
  <c r="B123" i="1"/>
  <c r="AM122" i="1"/>
  <c r="Q122" i="1"/>
  <c r="S122" i="1" s="1"/>
  <c r="N122" i="1"/>
  <c r="P122" i="1" s="1"/>
  <c r="K122" i="1"/>
  <c r="K124" i="1" s="1"/>
  <c r="H122" i="1"/>
  <c r="J122" i="1" s="1"/>
  <c r="G122" i="1"/>
  <c r="E122" i="1"/>
  <c r="E124" i="1" s="1"/>
  <c r="B122" i="1"/>
  <c r="D122" i="1" s="1"/>
  <c r="AM121" i="1"/>
  <c r="AL121" i="1"/>
  <c r="AN121" i="1" s="1"/>
  <c r="S121" i="1"/>
  <c r="P121" i="1"/>
  <c r="M121" i="1"/>
  <c r="J121" i="1"/>
  <c r="G121" i="1"/>
  <c r="D121" i="1"/>
  <c r="R116" i="1"/>
  <c r="O116" i="1"/>
  <c r="L116" i="1"/>
  <c r="I116" i="1"/>
  <c r="F116" i="1"/>
  <c r="C116" i="1"/>
  <c r="AM115" i="1"/>
  <c r="Q115" i="1"/>
  <c r="S115" i="1" s="1"/>
  <c r="N115" i="1"/>
  <c r="N116" i="1" s="1"/>
  <c r="K115" i="1"/>
  <c r="M115" i="1" s="1"/>
  <c r="H115" i="1"/>
  <c r="J115" i="1" s="1"/>
  <c r="E115" i="1"/>
  <c r="G115" i="1" s="1"/>
  <c r="B115" i="1"/>
  <c r="B116" i="1" s="1"/>
  <c r="AM114" i="1"/>
  <c r="AL114" i="1"/>
  <c r="S114" i="1"/>
  <c r="P114" i="1"/>
  <c r="M114" i="1"/>
  <c r="J114" i="1"/>
  <c r="G114" i="1"/>
  <c r="D114" i="1"/>
  <c r="AM112" i="1"/>
  <c r="Q112" i="1"/>
  <c r="S112" i="1" s="1"/>
  <c r="N112" i="1"/>
  <c r="P112" i="1" s="1"/>
  <c r="K112" i="1"/>
  <c r="M112" i="1" s="1"/>
  <c r="J112" i="1"/>
  <c r="H112" i="1"/>
  <c r="E112" i="1"/>
  <c r="G112" i="1" s="1"/>
  <c r="B112" i="1"/>
  <c r="R110" i="1"/>
  <c r="R118" i="1" s="1"/>
  <c r="R141" i="1" s="1"/>
  <c r="O110" i="1"/>
  <c r="L110" i="1"/>
  <c r="L118" i="1" s="1"/>
  <c r="I110" i="1"/>
  <c r="I118" i="1" s="1"/>
  <c r="I141" i="1" s="1"/>
  <c r="F110" i="1"/>
  <c r="F118" i="1" s="1"/>
  <c r="C110" i="1"/>
  <c r="AM109" i="1"/>
  <c r="Q109" i="1"/>
  <c r="S109" i="1" s="1"/>
  <c r="P109" i="1"/>
  <c r="N109" i="1"/>
  <c r="K109" i="1"/>
  <c r="H109" i="1"/>
  <c r="J109" i="1" s="1"/>
  <c r="E109" i="1"/>
  <c r="B109" i="1"/>
  <c r="D109" i="1" s="1"/>
  <c r="AM108" i="1"/>
  <c r="Q108" i="1"/>
  <c r="N108" i="1"/>
  <c r="K108" i="1"/>
  <c r="M108" i="1" s="1"/>
  <c r="H108" i="1"/>
  <c r="E108" i="1"/>
  <c r="G108" i="1" s="1"/>
  <c r="B108" i="1"/>
  <c r="AM107" i="1"/>
  <c r="AL107" i="1"/>
  <c r="AN107" i="1" s="1"/>
  <c r="S107" i="1"/>
  <c r="P107" i="1"/>
  <c r="M107" i="1"/>
  <c r="J107" i="1"/>
  <c r="G107" i="1"/>
  <c r="D107" i="1"/>
  <c r="R98" i="1"/>
  <c r="Q98" i="1"/>
  <c r="S98" i="1" s="1"/>
  <c r="O98" i="1"/>
  <c r="N98" i="1"/>
  <c r="P98" i="1" s="1"/>
  <c r="L98" i="1"/>
  <c r="K98" i="1"/>
  <c r="M98" i="1" s="1"/>
  <c r="I98" i="1"/>
  <c r="J98" i="1" s="1"/>
  <c r="H98" i="1"/>
  <c r="F98" i="1"/>
  <c r="E98" i="1"/>
  <c r="G98" i="1" s="1"/>
  <c r="C98" i="1"/>
  <c r="B98" i="1"/>
  <c r="R95" i="1"/>
  <c r="Q95" i="1"/>
  <c r="S95" i="1" s="1"/>
  <c r="O95" i="1"/>
  <c r="P95" i="1" s="1"/>
  <c r="N95" i="1"/>
  <c r="L95" i="1"/>
  <c r="K95" i="1"/>
  <c r="M95" i="1" s="1"/>
  <c r="I95" i="1"/>
  <c r="H95" i="1"/>
  <c r="F95" i="1"/>
  <c r="E95" i="1"/>
  <c r="G95" i="1" s="1"/>
  <c r="C95" i="1"/>
  <c r="D95" i="1" s="1"/>
  <c r="B95" i="1"/>
  <c r="R94" i="1"/>
  <c r="Q94" i="1"/>
  <c r="O94" i="1"/>
  <c r="N94" i="1"/>
  <c r="P94" i="1" s="1"/>
  <c r="L94" i="1"/>
  <c r="K94" i="1"/>
  <c r="I94" i="1"/>
  <c r="H94" i="1"/>
  <c r="F94" i="1"/>
  <c r="E94" i="1"/>
  <c r="C94" i="1"/>
  <c r="B94" i="1"/>
  <c r="D94" i="1" s="1"/>
  <c r="R93" i="1"/>
  <c r="Q93" i="1"/>
  <c r="S93" i="1" s="1"/>
  <c r="O93" i="1"/>
  <c r="N93" i="1"/>
  <c r="L93" i="1"/>
  <c r="K93" i="1"/>
  <c r="M93" i="1" s="1"/>
  <c r="I93" i="1"/>
  <c r="H93" i="1"/>
  <c r="F93" i="1"/>
  <c r="E93" i="1"/>
  <c r="G93" i="1" s="1"/>
  <c r="C93" i="1"/>
  <c r="B93" i="1"/>
  <c r="R92" i="1"/>
  <c r="Q92" i="1"/>
  <c r="O92" i="1"/>
  <c r="N92" i="1"/>
  <c r="L92" i="1"/>
  <c r="M92" i="1" s="1"/>
  <c r="K92" i="1"/>
  <c r="I92" i="1"/>
  <c r="H92" i="1"/>
  <c r="J92" i="1" s="1"/>
  <c r="F92" i="1"/>
  <c r="F96" i="1" s="1"/>
  <c r="E92" i="1"/>
  <c r="C92" i="1"/>
  <c r="B92" i="1"/>
  <c r="AM91" i="1"/>
  <c r="AL91" i="1"/>
  <c r="S91" i="1"/>
  <c r="P91" i="1"/>
  <c r="M91" i="1"/>
  <c r="J91" i="1"/>
  <c r="G91" i="1"/>
  <c r="D91" i="1"/>
  <c r="R88" i="1"/>
  <c r="Q88" i="1"/>
  <c r="O88" i="1"/>
  <c r="N88" i="1"/>
  <c r="P88" i="1" s="1"/>
  <c r="L88" i="1"/>
  <c r="K88" i="1"/>
  <c r="I88" i="1"/>
  <c r="J88" i="1" s="1"/>
  <c r="H88" i="1"/>
  <c r="F88" i="1"/>
  <c r="E88" i="1"/>
  <c r="G88" i="1" s="1"/>
  <c r="C88" i="1"/>
  <c r="B88" i="1"/>
  <c r="R87" i="1"/>
  <c r="S87" i="1" s="1"/>
  <c r="O87" i="1"/>
  <c r="P87" i="1" s="1"/>
  <c r="L87" i="1"/>
  <c r="K87" i="1"/>
  <c r="M87" i="1" s="1"/>
  <c r="I87" i="1"/>
  <c r="J87" i="1" s="1"/>
  <c r="F87" i="1"/>
  <c r="G87" i="1" s="1"/>
  <c r="C87" i="1"/>
  <c r="AM87" i="1" s="1"/>
  <c r="B87" i="1"/>
  <c r="AL87" i="1" s="1"/>
  <c r="AM86" i="1"/>
  <c r="AL86" i="1"/>
  <c r="S86" i="1"/>
  <c r="P86" i="1"/>
  <c r="M86" i="1"/>
  <c r="H86" i="1"/>
  <c r="J86" i="1" s="1"/>
  <c r="G86" i="1"/>
  <c r="D86" i="1"/>
  <c r="R85" i="1"/>
  <c r="S85" i="1" s="1"/>
  <c r="O85" i="1"/>
  <c r="N85" i="1"/>
  <c r="L85" i="1"/>
  <c r="K85" i="1"/>
  <c r="M85" i="1" s="1"/>
  <c r="I85" i="1"/>
  <c r="H85" i="1"/>
  <c r="J85" i="1" s="1"/>
  <c r="F85" i="1"/>
  <c r="G85" i="1" s="1"/>
  <c r="C85" i="1"/>
  <c r="B85" i="1"/>
  <c r="R84" i="1"/>
  <c r="Q84" i="1"/>
  <c r="O84" i="1"/>
  <c r="N84" i="1"/>
  <c r="P84" i="1" s="1"/>
  <c r="L84" i="1"/>
  <c r="K84" i="1"/>
  <c r="I84" i="1"/>
  <c r="H84" i="1"/>
  <c r="J84" i="1" s="1"/>
  <c r="F84" i="1"/>
  <c r="E84" i="1"/>
  <c r="C84" i="1"/>
  <c r="B84" i="1"/>
  <c r="D84" i="1" s="1"/>
  <c r="AL83" i="1"/>
  <c r="R83" i="1"/>
  <c r="S83" i="1" s="1"/>
  <c r="O83" i="1"/>
  <c r="P83" i="1" s="1"/>
  <c r="L83" i="1"/>
  <c r="M83" i="1" s="1"/>
  <c r="I83" i="1"/>
  <c r="J83" i="1" s="1"/>
  <c r="F83" i="1"/>
  <c r="G83" i="1" s="1"/>
  <c r="C83" i="1"/>
  <c r="AM82" i="1"/>
  <c r="S82" i="1"/>
  <c r="P82" i="1"/>
  <c r="K82" i="1"/>
  <c r="M82" i="1" s="1"/>
  <c r="J82" i="1"/>
  <c r="G82" i="1"/>
  <c r="D82" i="1"/>
  <c r="R81" i="1"/>
  <c r="S81" i="1" s="1"/>
  <c r="O81" i="1"/>
  <c r="P81" i="1" s="1"/>
  <c r="L81" i="1"/>
  <c r="M81" i="1" s="1"/>
  <c r="I81" i="1"/>
  <c r="J81" i="1" s="1"/>
  <c r="F81" i="1"/>
  <c r="E81" i="1"/>
  <c r="AL81" i="1" s="1"/>
  <c r="C81" i="1"/>
  <c r="R80" i="1"/>
  <c r="S80" i="1" s="1"/>
  <c r="O80" i="1"/>
  <c r="P80" i="1" s="1"/>
  <c r="L80" i="1"/>
  <c r="M80" i="1" s="1"/>
  <c r="I80" i="1"/>
  <c r="H80" i="1"/>
  <c r="J80" i="1" s="1"/>
  <c r="F80" i="1"/>
  <c r="G80" i="1" s="1"/>
  <c r="C80" i="1"/>
  <c r="B80" i="1"/>
  <c r="R79" i="1"/>
  <c r="S79" i="1" s="1"/>
  <c r="O79" i="1"/>
  <c r="P79" i="1" s="1"/>
  <c r="L79" i="1"/>
  <c r="K79" i="1"/>
  <c r="M79" i="1" s="1"/>
  <c r="I79" i="1"/>
  <c r="J79" i="1" s="1"/>
  <c r="H79" i="1"/>
  <c r="F79" i="1"/>
  <c r="E79" i="1"/>
  <c r="C79" i="1"/>
  <c r="B79" i="1"/>
  <c r="R78" i="1"/>
  <c r="Q78" i="1"/>
  <c r="S78" i="1" s="1"/>
  <c r="O78" i="1"/>
  <c r="N78" i="1"/>
  <c r="P78" i="1" s="1"/>
  <c r="L78" i="1"/>
  <c r="K78" i="1"/>
  <c r="I78" i="1"/>
  <c r="H78" i="1"/>
  <c r="J78" i="1" s="1"/>
  <c r="G78" i="1"/>
  <c r="F78" i="1"/>
  <c r="E78" i="1"/>
  <c r="D78" i="1"/>
  <c r="C78" i="1"/>
  <c r="B78" i="1"/>
  <c r="R77" i="1"/>
  <c r="Q77" i="1"/>
  <c r="S77" i="1" s="1"/>
  <c r="P77" i="1"/>
  <c r="O77" i="1"/>
  <c r="L77" i="1"/>
  <c r="M77" i="1" s="1"/>
  <c r="J77" i="1"/>
  <c r="I77" i="1"/>
  <c r="F77" i="1"/>
  <c r="E77" i="1"/>
  <c r="G77" i="1" s="1"/>
  <c r="C77" i="1"/>
  <c r="D77" i="1" s="1"/>
  <c r="R76" i="1"/>
  <c r="S76" i="1" s="1"/>
  <c r="O76" i="1"/>
  <c r="P76" i="1" s="1"/>
  <c r="L76" i="1"/>
  <c r="K76" i="1"/>
  <c r="M76" i="1" s="1"/>
  <c r="I76" i="1"/>
  <c r="H76" i="1"/>
  <c r="F76" i="1"/>
  <c r="G76" i="1" s="1"/>
  <c r="C76" i="1"/>
  <c r="AM75" i="1"/>
  <c r="S75" i="1"/>
  <c r="P75" i="1"/>
  <c r="M75" i="1"/>
  <c r="J75" i="1"/>
  <c r="H75" i="1"/>
  <c r="E75" i="1"/>
  <c r="D75" i="1"/>
  <c r="R74" i="1"/>
  <c r="S74" i="1" s="1"/>
  <c r="Q74" i="1"/>
  <c r="Q89" i="1" s="1"/>
  <c r="O74" i="1"/>
  <c r="N74" i="1"/>
  <c r="L74" i="1"/>
  <c r="K74" i="1"/>
  <c r="I74" i="1"/>
  <c r="J74" i="1" s="1"/>
  <c r="F74" i="1"/>
  <c r="G74" i="1" s="1"/>
  <c r="C74" i="1"/>
  <c r="AM73" i="1"/>
  <c r="AL73" i="1"/>
  <c r="S73" i="1"/>
  <c r="P73" i="1"/>
  <c r="M73" i="1"/>
  <c r="J73" i="1"/>
  <c r="G73" i="1"/>
  <c r="D73" i="1"/>
  <c r="R70" i="1"/>
  <c r="Q70" i="1"/>
  <c r="S70" i="1" s="1"/>
  <c r="O70" i="1"/>
  <c r="N70" i="1"/>
  <c r="P70" i="1" s="1"/>
  <c r="L70" i="1"/>
  <c r="K70" i="1"/>
  <c r="I70" i="1"/>
  <c r="H70" i="1"/>
  <c r="G70" i="1"/>
  <c r="F70" i="1"/>
  <c r="E70" i="1"/>
  <c r="C70" i="1"/>
  <c r="B70" i="1"/>
  <c r="AL70" i="1" s="1"/>
  <c r="AL69" i="1"/>
  <c r="R69" i="1"/>
  <c r="S69" i="1" s="1"/>
  <c r="O69" i="1"/>
  <c r="P69" i="1" s="1"/>
  <c r="L69" i="1"/>
  <c r="M69" i="1" s="1"/>
  <c r="I69" i="1"/>
  <c r="J69" i="1" s="1"/>
  <c r="F69" i="1"/>
  <c r="G69" i="1" s="1"/>
  <c r="C69" i="1"/>
  <c r="D69" i="1" s="1"/>
  <c r="R68" i="1"/>
  <c r="S68" i="1" s="1"/>
  <c r="Q68" i="1"/>
  <c r="O68" i="1"/>
  <c r="N68" i="1"/>
  <c r="L68" i="1"/>
  <c r="K68" i="1"/>
  <c r="M68" i="1" s="1"/>
  <c r="I68" i="1"/>
  <c r="H68" i="1"/>
  <c r="F68" i="1"/>
  <c r="E68" i="1"/>
  <c r="C68" i="1"/>
  <c r="B68" i="1"/>
  <c r="R67" i="1"/>
  <c r="Q67" i="1"/>
  <c r="O67" i="1"/>
  <c r="P67" i="1" s="1"/>
  <c r="L67" i="1"/>
  <c r="K67" i="1"/>
  <c r="K71" i="1" s="1"/>
  <c r="I67" i="1"/>
  <c r="H67" i="1"/>
  <c r="F67" i="1"/>
  <c r="G67" i="1" s="1"/>
  <c r="C67" i="1"/>
  <c r="B67" i="1"/>
  <c r="AM66" i="1"/>
  <c r="AL66" i="1"/>
  <c r="S66" i="1"/>
  <c r="P66" i="1"/>
  <c r="M66" i="1"/>
  <c r="J66" i="1"/>
  <c r="G66" i="1"/>
  <c r="D66" i="1"/>
  <c r="R64" i="1"/>
  <c r="S64" i="1" s="1"/>
  <c r="O64" i="1"/>
  <c r="P64" i="1" s="1"/>
  <c r="L64" i="1"/>
  <c r="M64" i="1" s="1"/>
  <c r="I64" i="1"/>
  <c r="H64" i="1"/>
  <c r="F64" i="1"/>
  <c r="G64" i="1" s="1"/>
  <c r="C64" i="1"/>
  <c r="AM63" i="1"/>
  <c r="AL63" i="1"/>
  <c r="R63" i="1"/>
  <c r="S63" i="1" s="1"/>
  <c r="P63" i="1"/>
  <c r="O63" i="1"/>
  <c r="L63" i="1"/>
  <c r="M63" i="1" s="1"/>
  <c r="J63" i="1"/>
  <c r="I63" i="1"/>
  <c r="F63" i="1"/>
  <c r="G63" i="1" s="1"/>
  <c r="D63" i="1"/>
  <c r="C63" i="1"/>
  <c r="Q61" i="1"/>
  <c r="H61" i="1"/>
  <c r="R60" i="1"/>
  <c r="S60" i="1" s="1"/>
  <c r="P60" i="1"/>
  <c r="O60" i="1"/>
  <c r="O61" i="1" s="1"/>
  <c r="P61" i="1" s="1"/>
  <c r="N60" i="1"/>
  <c r="N61" i="1" s="1"/>
  <c r="L60" i="1"/>
  <c r="K60" i="1"/>
  <c r="K61" i="1" s="1"/>
  <c r="I60" i="1"/>
  <c r="I61" i="1" s="1"/>
  <c r="H60" i="1"/>
  <c r="F60" i="1"/>
  <c r="F61" i="1" s="1"/>
  <c r="E60" i="1"/>
  <c r="G60" i="1" s="1"/>
  <c r="D60" i="1"/>
  <c r="C60" i="1"/>
  <c r="C61" i="1" s="1"/>
  <c r="B60" i="1"/>
  <c r="AM59" i="1"/>
  <c r="AL59" i="1"/>
  <c r="S59" i="1"/>
  <c r="P59" i="1"/>
  <c r="M59" i="1"/>
  <c r="J59" i="1"/>
  <c r="G59" i="1"/>
  <c r="D59" i="1"/>
  <c r="Q57" i="1"/>
  <c r="N57" i="1"/>
  <c r="F57" i="1"/>
  <c r="E57" i="1"/>
  <c r="R56" i="1"/>
  <c r="S56" i="1" s="1"/>
  <c r="P56" i="1"/>
  <c r="O56" i="1"/>
  <c r="L56" i="1"/>
  <c r="K56" i="1"/>
  <c r="AL56" i="1" s="1"/>
  <c r="I56" i="1"/>
  <c r="J56" i="1" s="1"/>
  <c r="F56" i="1"/>
  <c r="G56" i="1" s="1"/>
  <c r="C56" i="1"/>
  <c r="S55" i="1"/>
  <c r="R55" i="1"/>
  <c r="R57" i="1" s="1"/>
  <c r="S57" i="1" s="1"/>
  <c r="O55" i="1"/>
  <c r="M55" i="1"/>
  <c r="L55" i="1"/>
  <c r="L57" i="1" s="1"/>
  <c r="K55" i="1"/>
  <c r="I55" i="1"/>
  <c r="H55" i="1"/>
  <c r="G55" i="1"/>
  <c r="F55" i="1"/>
  <c r="C55" i="1"/>
  <c r="B55" i="1"/>
  <c r="D55" i="1" s="1"/>
  <c r="AM54" i="1"/>
  <c r="S54" i="1"/>
  <c r="N54" i="1"/>
  <c r="P54" i="1" s="1"/>
  <c r="K54" i="1"/>
  <c r="H54" i="1"/>
  <c r="G54" i="1"/>
  <c r="D54" i="1"/>
  <c r="AM53" i="1"/>
  <c r="AL53" i="1"/>
  <c r="AN53" i="1" s="1"/>
  <c r="S53" i="1"/>
  <c r="P53" i="1"/>
  <c r="M53" i="1"/>
  <c r="J53" i="1"/>
  <c r="G53" i="1"/>
  <c r="D53" i="1"/>
  <c r="B51" i="1"/>
  <c r="R50" i="1"/>
  <c r="Q50" i="1"/>
  <c r="S50" i="1" s="1"/>
  <c r="O50" i="1"/>
  <c r="P50" i="1" s="1"/>
  <c r="L50" i="1"/>
  <c r="K50" i="1"/>
  <c r="J50" i="1"/>
  <c r="I50" i="1"/>
  <c r="F50" i="1"/>
  <c r="G50" i="1" s="1"/>
  <c r="D50" i="1"/>
  <c r="C50" i="1"/>
  <c r="AM49" i="1"/>
  <c r="AL49" i="1"/>
  <c r="AN49" i="1" s="1"/>
  <c r="S49" i="1"/>
  <c r="P49" i="1"/>
  <c r="N49" i="1"/>
  <c r="K49" i="1"/>
  <c r="M49" i="1" s="1"/>
  <c r="J49" i="1"/>
  <c r="H49" i="1"/>
  <c r="E49" i="1"/>
  <c r="G49" i="1" s="1"/>
  <c r="D49" i="1"/>
  <c r="S48" i="1"/>
  <c r="R48" i="1"/>
  <c r="O48" i="1"/>
  <c r="P48" i="1" s="1"/>
  <c r="M48" i="1"/>
  <c r="L48" i="1"/>
  <c r="I48" i="1"/>
  <c r="H48" i="1"/>
  <c r="AL48" i="1" s="1"/>
  <c r="F48" i="1"/>
  <c r="C48" i="1"/>
  <c r="D48" i="1" s="1"/>
  <c r="R47" i="1"/>
  <c r="R51" i="1" s="1"/>
  <c r="Q47" i="1"/>
  <c r="S47" i="1" s="1"/>
  <c r="O47" i="1"/>
  <c r="N47" i="1"/>
  <c r="P47" i="1" s="1"/>
  <c r="L47" i="1"/>
  <c r="K47" i="1"/>
  <c r="K51" i="1" s="1"/>
  <c r="I47" i="1"/>
  <c r="H47" i="1"/>
  <c r="F47" i="1"/>
  <c r="E47" i="1"/>
  <c r="C47" i="1"/>
  <c r="AM46" i="1"/>
  <c r="AL46" i="1"/>
  <c r="S46" i="1"/>
  <c r="P46" i="1"/>
  <c r="M46" i="1"/>
  <c r="J46" i="1"/>
  <c r="G46" i="1"/>
  <c r="D46" i="1"/>
  <c r="R39" i="1"/>
  <c r="S39" i="1" s="1"/>
  <c r="Q39" i="1"/>
  <c r="O39" i="1"/>
  <c r="N39" i="1"/>
  <c r="AL39" i="1" s="1"/>
  <c r="L39" i="1"/>
  <c r="K39" i="1"/>
  <c r="I39" i="1"/>
  <c r="H39" i="1"/>
  <c r="J39" i="1" s="1"/>
  <c r="F39" i="1"/>
  <c r="E39" i="1"/>
  <c r="D39" i="1"/>
  <c r="C39" i="1"/>
  <c r="B39" i="1"/>
  <c r="AM36" i="1"/>
  <c r="Q36" i="1"/>
  <c r="S36" i="1" s="1"/>
  <c r="N36" i="1"/>
  <c r="P36" i="1" s="1"/>
  <c r="K36" i="1"/>
  <c r="M36" i="1" s="1"/>
  <c r="H36" i="1"/>
  <c r="J36" i="1" s="1"/>
  <c r="E36" i="1"/>
  <c r="G36" i="1" s="1"/>
  <c r="B36" i="1"/>
  <c r="D36" i="1" s="1"/>
  <c r="R35" i="1"/>
  <c r="S35" i="1" s="1"/>
  <c r="O35" i="1"/>
  <c r="N35" i="1"/>
  <c r="L35" i="1"/>
  <c r="M35" i="1" s="1"/>
  <c r="I35" i="1"/>
  <c r="J35" i="1" s="1"/>
  <c r="F35" i="1"/>
  <c r="G35" i="1" s="1"/>
  <c r="C35" i="1"/>
  <c r="B35" i="1"/>
  <c r="R34" i="1"/>
  <c r="R37" i="1" s="1"/>
  <c r="Q34" i="1"/>
  <c r="Q37" i="1" s="1"/>
  <c r="S37" i="1" s="1"/>
  <c r="O34" i="1"/>
  <c r="N34" i="1"/>
  <c r="M34" i="1"/>
  <c r="L34" i="1"/>
  <c r="L37" i="1" s="1"/>
  <c r="K34" i="1"/>
  <c r="K37" i="1" s="1"/>
  <c r="I34" i="1"/>
  <c r="H34" i="1"/>
  <c r="J34" i="1" s="1"/>
  <c r="F34" i="1"/>
  <c r="F37" i="1" s="1"/>
  <c r="E34" i="1"/>
  <c r="C34" i="1"/>
  <c r="C37" i="1" s="1"/>
  <c r="B34" i="1"/>
  <c r="AM33" i="1"/>
  <c r="AL33" i="1"/>
  <c r="S33" i="1"/>
  <c r="P33" i="1"/>
  <c r="M33" i="1"/>
  <c r="J33" i="1"/>
  <c r="G33" i="1"/>
  <c r="D33" i="1"/>
  <c r="AL31" i="1"/>
  <c r="S31" i="1"/>
  <c r="R31" i="1"/>
  <c r="O31" i="1"/>
  <c r="P31" i="1" s="1"/>
  <c r="M31" i="1"/>
  <c r="L31" i="1"/>
  <c r="I31" i="1"/>
  <c r="J31" i="1" s="1"/>
  <c r="G31" i="1"/>
  <c r="F31" i="1"/>
  <c r="C31" i="1"/>
  <c r="AM31" i="1" s="1"/>
  <c r="H29" i="1"/>
  <c r="R28" i="1"/>
  <c r="R29" i="1" s="1"/>
  <c r="Q28" i="1"/>
  <c r="Q29" i="1" s="1"/>
  <c r="O28" i="1"/>
  <c r="O29" i="1" s="1"/>
  <c r="N28" i="1"/>
  <c r="N29" i="1" s="1"/>
  <c r="L28" i="1"/>
  <c r="L29" i="1" s="1"/>
  <c r="K28" i="1"/>
  <c r="K29" i="1" s="1"/>
  <c r="I28" i="1"/>
  <c r="H28" i="1"/>
  <c r="F28" i="1"/>
  <c r="F29" i="1" s="1"/>
  <c r="E28" i="1"/>
  <c r="E29" i="1" s="1"/>
  <c r="C28" i="1"/>
  <c r="C29" i="1" s="1"/>
  <c r="B28" i="1"/>
  <c r="B29" i="1" s="1"/>
  <c r="AM27" i="1"/>
  <c r="AL27" i="1"/>
  <c r="AN27" i="1" s="1"/>
  <c r="S27" i="1"/>
  <c r="P27" i="1"/>
  <c r="M27" i="1"/>
  <c r="J27" i="1"/>
  <c r="G27" i="1"/>
  <c r="D27" i="1"/>
  <c r="AM25" i="1"/>
  <c r="Q25" i="1"/>
  <c r="S25" i="1" s="1"/>
  <c r="N25" i="1"/>
  <c r="P25" i="1" s="1"/>
  <c r="K25" i="1"/>
  <c r="M25" i="1" s="1"/>
  <c r="H25" i="1"/>
  <c r="J25" i="1" s="1"/>
  <c r="E25" i="1"/>
  <c r="G25" i="1" s="1"/>
  <c r="B25" i="1"/>
  <c r="R24" i="1"/>
  <c r="Q24" i="1"/>
  <c r="O24" i="1"/>
  <c r="P24" i="1" s="1"/>
  <c r="N24" i="1"/>
  <c r="L24" i="1"/>
  <c r="K24" i="1"/>
  <c r="AL24" i="1" s="1"/>
  <c r="I24" i="1"/>
  <c r="J24" i="1" s="1"/>
  <c r="F24" i="1"/>
  <c r="G24" i="1" s="1"/>
  <c r="C24" i="1"/>
  <c r="D24" i="1" s="1"/>
  <c r="K22" i="1"/>
  <c r="AL21" i="1"/>
  <c r="R21" i="1"/>
  <c r="S21" i="1" s="1"/>
  <c r="O21" i="1"/>
  <c r="P21" i="1" s="1"/>
  <c r="L21" i="1"/>
  <c r="M21" i="1" s="1"/>
  <c r="I21" i="1"/>
  <c r="J21" i="1" s="1"/>
  <c r="F21" i="1"/>
  <c r="G21" i="1" s="1"/>
  <c r="C21" i="1"/>
  <c r="R20" i="1"/>
  <c r="R22" i="1" s="1"/>
  <c r="Q20" i="1"/>
  <c r="Q22" i="1" s="1"/>
  <c r="S22" i="1" s="1"/>
  <c r="O20" i="1"/>
  <c r="P20" i="1" s="1"/>
  <c r="N20" i="1"/>
  <c r="N22" i="1" s="1"/>
  <c r="M20" i="1"/>
  <c r="L20" i="1"/>
  <c r="I20" i="1"/>
  <c r="H20" i="1"/>
  <c r="H22" i="1" s="1"/>
  <c r="F20" i="1"/>
  <c r="E20" i="1"/>
  <c r="E22" i="1" s="1"/>
  <c r="C20" i="1"/>
  <c r="B20" i="1"/>
  <c r="AM19" i="1"/>
  <c r="AL19" i="1"/>
  <c r="S19" i="1"/>
  <c r="P19" i="1"/>
  <c r="M19" i="1"/>
  <c r="J19" i="1"/>
  <c r="G19" i="1"/>
  <c r="D19" i="1"/>
  <c r="AL17" i="1"/>
  <c r="R17" i="1"/>
  <c r="S17" i="1" s="1"/>
  <c r="O17" i="1"/>
  <c r="P17" i="1" s="1"/>
  <c r="L17" i="1"/>
  <c r="M17" i="1" s="1"/>
  <c r="I17" i="1"/>
  <c r="J17" i="1" s="1"/>
  <c r="G17" i="1"/>
  <c r="F17" i="1"/>
  <c r="C17" i="1"/>
  <c r="R16" i="1"/>
  <c r="S16" i="1" s="1"/>
  <c r="O16" i="1"/>
  <c r="P16" i="1" s="1"/>
  <c r="L16" i="1"/>
  <c r="K16" i="1"/>
  <c r="AL16" i="1" s="1"/>
  <c r="I16" i="1"/>
  <c r="J16" i="1" s="1"/>
  <c r="G16" i="1"/>
  <c r="F16" i="1"/>
  <c r="C16" i="1"/>
  <c r="D16" i="1" s="1"/>
  <c r="R15" i="1"/>
  <c r="Q15" i="1"/>
  <c r="P15" i="1"/>
  <c r="O15" i="1"/>
  <c r="M15" i="1"/>
  <c r="L15" i="1"/>
  <c r="J15" i="1"/>
  <c r="I15" i="1"/>
  <c r="G15" i="1"/>
  <c r="F15" i="1"/>
  <c r="D15" i="1"/>
  <c r="C15" i="1"/>
  <c r="R14" i="1"/>
  <c r="S14" i="1" s="1"/>
  <c r="O14" i="1"/>
  <c r="P14" i="1" s="1"/>
  <c r="L14" i="1"/>
  <c r="K14" i="1"/>
  <c r="J14" i="1"/>
  <c r="I14" i="1"/>
  <c r="G14" i="1"/>
  <c r="F14" i="1"/>
  <c r="C14" i="1"/>
  <c r="B14" i="1"/>
  <c r="R11" i="1"/>
  <c r="S11" i="1" s="1"/>
  <c r="O11" i="1"/>
  <c r="P11" i="1" s="1"/>
  <c r="N11" i="1"/>
  <c r="M11" i="1"/>
  <c r="L11" i="1"/>
  <c r="J11" i="1"/>
  <c r="I11" i="1"/>
  <c r="F11" i="1"/>
  <c r="E11" i="1"/>
  <c r="AL11" i="1" s="1"/>
  <c r="C11" i="1"/>
  <c r="B11" i="1"/>
  <c r="R10" i="1"/>
  <c r="Q10" i="1"/>
  <c r="O10" i="1"/>
  <c r="N10" i="1"/>
  <c r="N12" i="1" s="1"/>
  <c r="L10" i="1"/>
  <c r="K10" i="1"/>
  <c r="I10" i="1"/>
  <c r="H10" i="1"/>
  <c r="F10" i="1"/>
  <c r="E10" i="1"/>
  <c r="D10" i="1"/>
  <c r="C10" i="1"/>
  <c r="B10" i="1"/>
  <c r="R9" i="1"/>
  <c r="Q9" i="1"/>
  <c r="S9" i="1" s="1"/>
  <c r="O9" i="1"/>
  <c r="P9" i="1" s="1"/>
  <c r="L9" i="1"/>
  <c r="L12" i="1" s="1"/>
  <c r="I9" i="1"/>
  <c r="I12" i="1" s="1"/>
  <c r="H9" i="1"/>
  <c r="H12" i="1" s="1"/>
  <c r="G9" i="1"/>
  <c r="F9" i="1"/>
  <c r="F12" i="1" s="1"/>
  <c r="C9" i="1"/>
  <c r="B9" i="1"/>
  <c r="AL9" i="1" s="1"/>
  <c r="AM8" i="1"/>
  <c r="AL8" i="1"/>
  <c r="S8" i="1"/>
  <c r="P8" i="1"/>
  <c r="M8" i="1"/>
  <c r="J8" i="1"/>
  <c r="G8" i="1"/>
  <c r="D8" i="1"/>
  <c r="AN59" i="1" l="1"/>
  <c r="AN66" i="1"/>
  <c r="AN86" i="1"/>
  <c r="AN134" i="1"/>
  <c r="AN136" i="1"/>
  <c r="AN133" i="1"/>
  <c r="AL29" i="1"/>
  <c r="AN31" i="1"/>
  <c r="E71" i="1"/>
  <c r="G68" i="1"/>
  <c r="R12" i="1"/>
  <c r="R41" i="1" s="1"/>
  <c r="R43" i="1" s="1"/>
  <c r="G10" i="1"/>
  <c r="M10" i="1"/>
  <c r="P10" i="1"/>
  <c r="AL14" i="1"/>
  <c r="AN14" i="1" s="1"/>
  <c r="AM15" i="1"/>
  <c r="S28" i="1"/>
  <c r="D31" i="1"/>
  <c r="S34" i="1"/>
  <c r="O57" i="1"/>
  <c r="P57" i="1" s="1"/>
  <c r="G57" i="1"/>
  <c r="AL60" i="1"/>
  <c r="M60" i="1"/>
  <c r="R61" i="1"/>
  <c r="S61" i="1" s="1"/>
  <c r="D67" i="1"/>
  <c r="AL67" i="1"/>
  <c r="AM95" i="1"/>
  <c r="AN8" i="1"/>
  <c r="S10" i="1"/>
  <c r="D11" i="1"/>
  <c r="G11" i="1"/>
  <c r="K12" i="1"/>
  <c r="K41" i="1" s="1"/>
  <c r="AM14" i="1"/>
  <c r="J20" i="1"/>
  <c r="P29" i="1"/>
  <c r="AN33" i="1"/>
  <c r="G34" i="1"/>
  <c r="M37" i="1"/>
  <c r="P34" i="1"/>
  <c r="AM35" i="1"/>
  <c r="P35" i="1"/>
  <c r="G39" i="1"/>
  <c r="M39" i="1"/>
  <c r="AM47" i="1"/>
  <c r="O51" i="1"/>
  <c r="M50" i="1"/>
  <c r="P55" i="1"/>
  <c r="M56" i="1"/>
  <c r="J60" i="1"/>
  <c r="AL68" i="1"/>
  <c r="N71" i="1"/>
  <c r="P68" i="1"/>
  <c r="AM83" i="1"/>
  <c r="AM84" i="1"/>
  <c r="Q110" i="1"/>
  <c r="Q118" i="1" s="1"/>
  <c r="S108" i="1"/>
  <c r="AL112" i="1"/>
  <c r="AN112" i="1" s="1"/>
  <c r="D112" i="1"/>
  <c r="N137" i="1"/>
  <c r="P137" i="1" s="1"/>
  <c r="E12" i="1"/>
  <c r="I37" i="1"/>
  <c r="AM10" i="1"/>
  <c r="J10" i="1"/>
  <c r="AM11" i="1"/>
  <c r="AN11" i="1" s="1"/>
  <c r="M14" i="1"/>
  <c r="S15" i="1"/>
  <c r="AL15" i="1"/>
  <c r="AM16" i="1"/>
  <c r="AN16" i="1" s="1"/>
  <c r="S20" i="1"/>
  <c r="I22" i="1"/>
  <c r="J22" i="1" s="1"/>
  <c r="S24" i="1"/>
  <c r="G29" i="1"/>
  <c r="M29" i="1"/>
  <c r="S29" i="1"/>
  <c r="E37" i="1"/>
  <c r="G37" i="1" s="1"/>
  <c r="Q51" i="1"/>
  <c r="N51" i="1"/>
  <c r="P51" i="1" s="1"/>
  <c r="AL55" i="1"/>
  <c r="B57" i="1"/>
  <c r="J61" i="1"/>
  <c r="AN63" i="1"/>
  <c r="L71" i="1"/>
  <c r="B71" i="1"/>
  <c r="Q96" i="1"/>
  <c r="S92" i="1"/>
  <c r="AM116" i="1"/>
  <c r="AL128" i="1"/>
  <c r="AN128" i="1" s="1"/>
  <c r="G81" i="1"/>
  <c r="B96" i="1"/>
  <c r="R96" i="1"/>
  <c r="AM94" i="1"/>
  <c r="C118" i="1"/>
  <c r="AN131" i="1"/>
  <c r="AM137" i="1"/>
  <c r="AN73" i="1"/>
  <c r="AN83" i="1"/>
  <c r="N96" i="1"/>
  <c r="F141" i="1"/>
  <c r="AN114" i="1"/>
  <c r="H116" i="1"/>
  <c r="J116" i="1" s="1"/>
  <c r="AL123" i="1"/>
  <c r="AN123" i="1" s="1"/>
  <c r="AM124" i="1"/>
  <c r="L139" i="1"/>
  <c r="L141" i="1" s="1"/>
  <c r="B129" i="1"/>
  <c r="D129" i="1" s="1"/>
  <c r="M137" i="1"/>
  <c r="S132" i="1"/>
  <c r="M78" i="1"/>
  <c r="D79" i="1"/>
  <c r="D83" i="1"/>
  <c r="G84" i="1"/>
  <c r="S84" i="1"/>
  <c r="P85" i="1"/>
  <c r="M88" i="1"/>
  <c r="S88" i="1"/>
  <c r="AN91" i="1"/>
  <c r="AM93" i="1"/>
  <c r="J93" i="1"/>
  <c r="P93" i="1"/>
  <c r="G94" i="1"/>
  <c r="S94" i="1"/>
  <c r="D98" i="1"/>
  <c r="P116" i="1"/>
  <c r="M122" i="1"/>
  <c r="O139" i="1"/>
  <c r="AN126" i="1"/>
  <c r="AM129" i="1"/>
  <c r="N129" i="1"/>
  <c r="P129" i="1" s="1"/>
  <c r="E137" i="1"/>
  <c r="G137" i="1" s="1"/>
  <c r="M12" i="1"/>
  <c r="K43" i="1"/>
  <c r="J12" i="1"/>
  <c r="AL10" i="1"/>
  <c r="Q12" i="1"/>
  <c r="AM17" i="1"/>
  <c r="AN17" i="1" s="1"/>
  <c r="D17" i="1"/>
  <c r="AM20" i="1"/>
  <c r="AM28" i="1"/>
  <c r="AL47" i="1"/>
  <c r="AN47" i="1" s="1"/>
  <c r="E51" i="1"/>
  <c r="I51" i="1"/>
  <c r="J47" i="1"/>
  <c r="L51" i="1"/>
  <c r="M51" i="1" s="1"/>
  <c r="K57" i="1"/>
  <c r="M57" i="1" s="1"/>
  <c r="M54" i="1"/>
  <c r="AM56" i="1"/>
  <c r="AN56" i="1" s="1"/>
  <c r="D56" i="1"/>
  <c r="J94" i="1"/>
  <c r="AL94" i="1"/>
  <c r="H96" i="1"/>
  <c r="M9" i="1"/>
  <c r="B12" i="1"/>
  <c r="M16" i="1"/>
  <c r="B22" i="1"/>
  <c r="AL20" i="1"/>
  <c r="AN20" i="1" s="1"/>
  <c r="F22" i="1"/>
  <c r="F41" i="1" s="1"/>
  <c r="G20" i="1"/>
  <c r="L22" i="1"/>
  <c r="M22" i="1" s="1"/>
  <c r="AM21" i="1"/>
  <c r="AN21" i="1" s="1"/>
  <c r="D21" i="1"/>
  <c r="O22" i="1"/>
  <c r="P22" i="1" s="1"/>
  <c r="AL25" i="1"/>
  <c r="AN25" i="1" s="1"/>
  <c r="D25" i="1"/>
  <c r="AL28" i="1"/>
  <c r="G28" i="1"/>
  <c r="N37" i="1"/>
  <c r="N41" i="1" s="1"/>
  <c r="AL34" i="1"/>
  <c r="AN46" i="1"/>
  <c r="AM48" i="1"/>
  <c r="AN48" i="1" s="1"/>
  <c r="L61" i="1"/>
  <c r="AM61" i="1" s="1"/>
  <c r="H71" i="1"/>
  <c r="J67" i="1"/>
  <c r="M70" i="1"/>
  <c r="O89" i="1"/>
  <c r="P74" i="1"/>
  <c r="AL80" i="1"/>
  <c r="D80" i="1"/>
  <c r="I57" i="1"/>
  <c r="AM55" i="1"/>
  <c r="AN55" i="1" s="1"/>
  <c r="J55" i="1"/>
  <c r="J64" i="1"/>
  <c r="AL64" i="1"/>
  <c r="C12" i="1"/>
  <c r="G12" i="1"/>
  <c r="O12" i="1"/>
  <c r="P12" i="1" s="1"/>
  <c r="D14" i="1"/>
  <c r="M24" i="1"/>
  <c r="M28" i="1"/>
  <c r="D29" i="1"/>
  <c r="AL36" i="1"/>
  <c r="AN36" i="1" s="1"/>
  <c r="P39" i="1"/>
  <c r="G47" i="1"/>
  <c r="S51" i="1"/>
  <c r="J48" i="1"/>
  <c r="D57" i="1"/>
  <c r="AM60" i="1"/>
  <c r="AM64" i="1"/>
  <c r="D64" i="1"/>
  <c r="Q71" i="1"/>
  <c r="S67" i="1"/>
  <c r="AM68" i="1"/>
  <c r="AN68" i="1" s="1"/>
  <c r="D68" i="1"/>
  <c r="D74" i="1"/>
  <c r="C89" i="1"/>
  <c r="AM74" i="1"/>
  <c r="K89" i="1"/>
  <c r="M74" i="1"/>
  <c r="AL74" i="1"/>
  <c r="E89" i="1"/>
  <c r="AL75" i="1"/>
  <c r="AN75" i="1" s="1"/>
  <c r="G75" i="1"/>
  <c r="AL76" i="1"/>
  <c r="J76" i="1"/>
  <c r="AL77" i="1"/>
  <c r="AM9" i="1"/>
  <c r="AN9" i="1" s="1"/>
  <c r="AM24" i="1"/>
  <c r="AN24" i="1" s="1"/>
  <c r="AM34" i="1"/>
  <c r="D34" i="1"/>
  <c r="AM50" i="1"/>
  <c r="AN60" i="1"/>
  <c r="D9" i="1"/>
  <c r="J9" i="1"/>
  <c r="AN19" i="1"/>
  <c r="D20" i="1"/>
  <c r="C22" i="1"/>
  <c r="I29" i="1"/>
  <c r="AM29" i="1" s="1"/>
  <c r="J28" i="1"/>
  <c r="P28" i="1"/>
  <c r="B37" i="1"/>
  <c r="AL35" i="1"/>
  <c r="O37" i="1"/>
  <c r="AM37" i="1" s="1"/>
  <c r="AM39" i="1"/>
  <c r="AN39" i="1" s="1"/>
  <c r="C51" i="1"/>
  <c r="D47" i="1"/>
  <c r="M47" i="1"/>
  <c r="F51" i="1"/>
  <c r="G48" i="1"/>
  <c r="AL50" i="1"/>
  <c r="AN50" i="1" s="1"/>
  <c r="H51" i="1"/>
  <c r="AL54" i="1"/>
  <c r="AN54" i="1" s="1"/>
  <c r="C57" i="1"/>
  <c r="M61" i="1"/>
  <c r="C71" i="1"/>
  <c r="AM67" i="1"/>
  <c r="AN67" i="1" s="1"/>
  <c r="M71" i="1"/>
  <c r="G71" i="1"/>
  <c r="AM70" i="1"/>
  <c r="AN70" i="1" s="1"/>
  <c r="D70" i="1"/>
  <c r="O71" i="1"/>
  <c r="AM76" i="1"/>
  <c r="D76" i="1"/>
  <c r="H37" i="1"/>
  <c r="J37" i="1" s="1"/>
  <c r="E61" i="1"/>
  <c r="G61" i="1" s="1"/>
  <c r="I71" i="1"/>
  <c r="M67" i="1"/>
  <c r="J68" i="1"/>
  <c r="AM69" i="1"/>
  <c r="AN69" i="1" s="1"/>
  <c r="J70" i="1"/>
  <c r="F71" i="1"/>
  <c r="F89" i="1"/>
  <c r="L89" i="1"/>
  <c r="AM77" i="1"/>
  <c r="AL78" i="1"/>
  <c r="AM80" i="1"/>
  <c r="AL85" i="1"/>
  <c r="D85" i="1"/>
  <c r="C96" i="1"/>
  <c r="AM92" i="1"/>
  <c r="D92" i="1"/>
  <c r="O118" i="1"/>
  <c r="AM110" i="1"/>
  <c r="H57" i="1"/>
  <c r="J57" i="1" s="1"/>
  <c r="B61" i="1"/>
  <c r="R71" i="1"/>
  <c r="R100" i="1" s="1"/>
  <c r="AM79" i="1"/>
  <c r="AN81" i="1"/>
  <c r="D28" i="1"/>
  <c r="D35" i="1"/>
  <c r="J54" i="1"/>
  <c r="AM78" i="1"/>
  <c r="G79" i="1"/>
  <c r="AL79" i="1"/>
  <c r="AN79" i="1" s="1"/>
  <c r="AL88" i="1"/>
  <c r="I89" i="1"/>
  <c r="M94" i="1"/>
  <c r="L96" i="1"/>
  <c r="G109" i="1"/>
  <c r="AL109" i="1"/>
  <c r="AN109" i="1" s="1"/>
  <c r="AM81" i="1"/>
  <c r="AM85" i="1"/>
  <c r="AN87" i="1"/>
  <c r="E96" i="1"/>
  <c r="G96" i="1" s="1"/>
  <c r="I96" i="1"/>
  <c r="AL92" i="1"/>
  <c r="H110" i="1"/>
  <c r="J108" i="1"/>
  <c r="D81" i="1"/>
  <c r="AL82" i="1"/>
  <c r="AN82" i="1" s="1"/>
  <c r="AM88" i="1"/>
  <c r="K96" i="1"/>
  <c r="O96" i="1"/>
  <c r="P96" i="1" s="1"/>
  <c r="P92" i="1"/>
  <c r="AL95" i="1"/>
  <c r="AN95" i="1" s="1"/>
  <c r="AM98" i="1"/>
  <c r="N89" i="1"/>
  <c r="P89" i="1" s="1"/>
  <c r="R89" i="1"/>
  <c r="S89" i="1" s="1"/>
  <c r="H89" i="1"/>
  <c r="B89" i="1"/>
  <c r="AL84" i="1"/>
  <c r="AN84" i="1" s="1"/>
  <c r="M84" i="1"/>
  <c r="D88" i="1"/>
  <c r="G92" i="1"/>
  <c r="S96" i="1"/>
  <c r="AL93" i="1"/>
  <c r="J95" i="1"/>
  <c r="D96" i="1"/>
  <c r="K110" i="1"/>
  <c r="M109" i="1"/>
  <c r="D116" i="1"/>
  <c r="AL98" i="1"/>
  <c r="AN98" i="1" s="1"/>
  <c r="B110" i="1"/>
  <c r="AL108" i="1"/>
  <c r="AN108" i="1" s="1"/>
  <c r="D108" i="1"/>
  <c r="E110" i="1"/>
  <c r="D87" i="1"/>
  <c r="D93" i="1"/>
  <c r="N110" i="1"/>
  <c r="P108" i="1"/>
  <c r="M124" i="1"/>
  <c r="K139" i="1"/>
  <c r="M139" i="1" s="1"/>
  <c r="E116" i="1"/>
  <c r="G116" i="1" s="1"/>
  <c r="Q116" i="1"/>
  <c r="S116" i="1" s="1"/>
  <c r="AL122" i="1"/>
  <c r="AN122" i="1" s="1"/>
  <c r="D123" i="1"/>
  <c r="B124" i="1"/>
  <c r="N124" i="1"/>
  <c r="G128" i="1"/>
  <c r="H129" i="1"/>
  <c r="J129" i="1" s="1"/>
  <c r="J132" i="1"/>
  <c r="P132" i="1"/>
  <c r="S134" i="1"/>
  <c r="B137" i="1"/>
  <c r="C139" i="1"/>
  <c r="C141" i="1" s="1"/>
  <c r="D115" i="1"/>
  <c r="P115" i="1"/>
  <c r="G124" i="1"/>
  <c r="S124" i="1"/>
  <c r="E129" i="1"/>
  <c r="G129" i="1" s="1"/>
  <c r="Q129" i="1"/>
  <c r="S129" i="1" s="1"/>
  <c r="AL132" i="1"/>
  <c r="AN132" i="1" s="1"/>
  <c r="AL135" i="1"/>
  <c r="AN135" i="1" s="1"/>
  <c r="P136" i="1"/>
  <c r="AL115" i="1"/>
  <c r="AN115" i="1" s="1"/>
  <c r="K116" i="1"/>
  <c r="M116" i="1" s="1"/>
  <c r="H124" i="1"/>
  <c r="AL127" i="1"/>
  <c r="AN127" i="1" s="1"/>
  <c r="M127" i="1"/>
  <c r="R102" i="1" l="1"/>
  <c r="R143" i="1" s="1"/>
  <c r="AN93" i="1"/>
  <c r="AN35" i="1"/>
  <c r="S110" i="1"/>
  <c r="P71" i="1"/>
  <c r="J96" i="1"/>
  <c r="AN10" i="1"/>
  <c r="AL57" i="1"/>
  <c r="AN57" i="1" s="1"/>
  <c r="O141" i="1"/>
  <c r="AM141" i="1" s="1"/>
  <c r="AM57" i="1"/>
  <c r="J29" i="1"/>
  <c r="AN94" i="1"/>
  <c r="L41" i="1"/>
  <c r="E41" i="1"/>
  <c r="E43" i="1" s="1"/>
  <c r="Q139" i="1"/>
  <c r="S139" i="1" s="1"/>
  <c r="J89" i="1"/>
  <c r="AN85" i="1"/>
  <c r="AN29" i="1"/>
  <c r="AN77" i="1"/>
  <c r="M89" i="1"/>
  <c r="S71" i="1"/>
  <c r="G22" i="1"/>
  <c r="AN15" i="1"/>
  <c r="F43" i="1"/>
  <c r="G41" i="1"/>
  <c r="D137" i="1"/>
  <c r="AL137" i="1"/>
  <c r="AN137" i="1" s="1"/>
  <c r="D110" i="1"/>
  <c r="AL110" i="1"/>
  <c r="AN110" i="1" s="1"/>
  <c r="B118" i="1"/>
  <c r="D89" i="1"/>
  <c r="AL89" i="1"/>
  <c r="AN80" i="1"/>
  <c r="J71" i="1"/>
  <c r="AN34" i="1"/>
  <c r="I100" i="1"/>
  <c r="S12" i="1"/>
  <c r="Q41" i="1"/>
  <c r="P41" i="1"/>
  <c r="N43" i="1"/>
  <c r="Q141" i="1"/>
  <c r="S141" i="1" s="1"/>
  <c r="S118" i="1"/>
  <c r="AN88" i="1"/>
  <c r="H100" i="1"/>
  <c r="J100" i="1" s="1"/>
  <c r="J51" i="1"/>
  <c r="O41" i="1"/>
  <c r="O43" i="1" s="1"/>
  <c r="O100" i="1"/>
  <c r="G43" i="1"/>
  <c r="N139" i="1"/>
  <c r="P139" i="1" s="1"/>
  <c r="P124" i="1"/>
  <c r="AM118" i="1"/>
  <c r="AM96" i="1"/>
  <c r="AL71" i="1"/>
  <c r="H139" i="1"/>
  <c r="J139" i="1" s="1"/>
  <c r="J124" i="1"/>
  <c r="B139" i="1"/>
  <c r="D124" i="1"/>
  <c r="AL124" i="1"/>
  <c r="AN124" i="1" s="1"/>
  <c r="P110" i="1"/>
  <c r="N118" i="1"/>
  <c r="E139" i="1"/>
  <c r="G139" i="1" s="1"/>
  <c r="K118" i="1"/>
  <c r="M110" i="1"/>
  <c r="M96" i="1"/>
  <c r="H118" i="1"/>
  <c r="J110" i="1"/>
  <c r="AL61" i="1"/>
  <c r="AN61" i="1" s="1"/>
  <c r="D61" i="1"/>
  <c r="N100" i="1"/>
  <c r="P100" i="1" s="1"/>
  <c r="AN78" i="1"/>
  <c r="C100" i="1"/>
  <c r="AM51" i="1"/>
  <c r="D51" i="1"/>
  <c r="AL37" i="1"/>
  <c r="AN37" i="1" s="1"/>
  <c r="D37" i="1"/>
  <c r="AM22" i="1"/>
  <c r="G89" i="1"/>
  <c r="AM12" i="1"/>
  <c r="C41" i="1"/>
  <c r="K100" i="1"/>
  <c r="P37" i="1"/>
  <c r="AN28" i="1"/>
  <c r="E100" i="1"/>
  <c r="G100" i="1" s="1"/>
  <c r="G51" i="1"/>
  <c r="H41" i="1"/>
  <c r="I41" i="1"/>
  <c r="I43" i="1" s="1"/>
  <c r="I102" i="1" s="1"/>
  <c r="I143" i="1" s="1"/>
  <c r="B100" i="1"/>
  <c r="AM139" i="1"/>
  <c r="AL129" i="1"/>
  <c r="AN129" i="1" s="1"/>
  <c r="E118" i="1"/>
  <c r="G110" i="1"/>
  <c r="AL116" i="1"/>
  <c r="AN116" i="1" s="1"/>
  <c r="AL96" i="1"/>
  <c r="AN96" i="1" s="1"/>
  <c r="AN92" i="1"/>
  <c r="AM71" i="1"/>
  <c r="D71" i="1"/>
  <c r="F100" i="1"/>
  <c r="AN76" i="1"/>
  <c r="AN74" i="1"/>
  <c r="AM89" i="1"/>
  <c r="Q100" i="1"/>
  <c r="S100" i="1" s="1"/>
  <c r="AN64" i="1"/>
  <c r="AL51" i="1"/>
  <c r="AN51" i="1" s="1"/>
  <c r="AL22" i="1"/>
  <c r="AN22" i="1" s="1"/>
  <c r="D22" i="1"/>
  <c r="B41" i="1"/>
  <c r="D12" i="1"/>
  <c r="AL12" i="1"/>
  <c r="AN12" i="1" s="1"/>
  <c r="L100" i="1"/>
  <c r="L43" i="1" l="1"/>
  <c r="M41" i="1"/>
  <c r="M100" i="1"/>
  <c r="AN71" i="1"/>
  <c r="E102" i="1"/>
  <c r="J41" i="1"/>
  <c r="H43" i="1"/>
  <c r="K141" i="1"/>
  <c r="M141" i="1" s="1"/>
  <c r="M118" i="1"/>
  <c r="B141" i="1"/>
  <c r="D118" i="1"/>
  <c r="AL118" i="1"/>
  <c r="AN118" i="1" s="1"/>
  <c r="D41" i="1"/>
  <c r="AL41" i="1"/>
  <c r="B43" i="1"/>
  <c r="C43" i="1"/>
  <c r="AM41" i="1"/>
  <c r="H141" i="1"/>
  <c r="J141" i="1" s="1"/>
  <c r="J118" i="1"/>
  <c r="K102" i="1"/>
  <c r="E141" i="1"/>
  <c r="G141" i="1" s="1"/>
  <c r="G118" i="1"/>
  <c r="AM100" i="1"/>
  <c r="N141" i="1"/>
  <c r="P141" i="1" s="1"/>
  <c r="P118" i="1"/>
  <c r="O102" i="1"/>
  <c r="O143" i="1" s="1"/>
  <c r="Q43" i="1"/>
  <c r="S41" i="1"/>
  <c r="AN89" i="1"/>
  <c r="F102" i="1"/>
  <c r="F143" i="1" s="1"/>
  <c r="D100" i="1"/>
  <c r="AL100" i="1"/>
  <c r="AL139" i="1"/>
  <c r="AN139" i="1" s="1"/>
  <c r="D139" i="1"/>
  <c r="N102" i="1"/>
  <c r="P43" i="1"/>
  <c r="M43" i="1" l="1"/>
  <c r="L102" i="1"/>
  <c r="L143" i="1" s="1"/>
  <c r="Q102" i="1"/>
  <c r="S43" i="1"/>
  <c r="N143" i="1"/>
  <c r="P143" i="1" s="1"/>
  <c r="P102" i="1"/>
  <c r="AN100" i="1"/>
  <c r="K143" i="1"/>
  <c r="M143" i="1" s="1"/>
  <c r="M102" i="1"/>
  <c r="C102" i="1"/>
  <c r="AM43" i="1"/>
  <c r="G102" i="1"/>
  <c r="B102" i="1"/>
  <c r="D43" i="1"/>
  <c r="H102" i="1"/>
  <c r="J43" i="1"/>
  <c r="E143" i="1"/>
  <c r="G143" i="1" s="1"/>
  <c r="AN41" i="1"/>
  <c r="AL141" i="1"/>
  <c r="AN141" i="1" s="1"/>
  <c r="D141" i="1"/>
  <c r="AN43" i="1" l="1"/>
  <c r="B143" i="1"/>
  <c r="AL102" i="1"/>
  <c r="D102" i="1"/>
  <c r="Q143" i="1"/>
  <c r="S143" i="1" s="1"/>
  <c r="S102" i="1"/>
  <c r="H143" i="1"/>
  <c r="J143" i="1" s="1"/>
  <c r="J102" i="1"/>
  <c r="C143" i="1"/>
  <c r="AM102" i="1"/>
  <c r="AN102" i="1" l="1"/>
  <c r="AM143" i="1"/>
  <c r="D143" i="1"/>
  <c r="AL143" i="1"/>
  <c r="AN143" i="1" s="1"/>
</calcChain>
</file>

<file path=xl/sharedStrings.xml><?xml version="1.0" encoding="utf-8"?>
<sst xmlns="http://schemas.openxmlformats.org/spreadsheetml/2006/main" count="181" uniqueCount="138">
  <si>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</si>
  <si>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</si>
  <si>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</si>
  <si>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</si>
  <si>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</si>
  <si>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</si>
  <si>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</si>
  <si>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</si>
  <si>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</si>
  <si>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</si>
  <si>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</si>
  <si>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</si>
  <si>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Actual</t>
  </si>
  <si>
    <t>Budget</t>
  </si>
  <si>
    <t>over Budget</t>
  </si>
  <si>
    <t xml:space="preserve">   4001 Contributions and Grants</t>
  </si>
  <si>
    <t xml:space="preserve">      4001.01 Church</t>
  </si>
  <si>
    <t xml:space="preserve">      4001.04 Individual</t>
  </si>
  <si>
    <t xml:space="preserve">      4001.05 Corporations</t>
  </si>
  <si>
    <t xml:space="preserve">   Total 4001 Contributions and Grants</t>
  </si>
  <si>
    <t xml:space="preserve">   4002 Episcopal Charities</t>
  </si>
  <si>
    <t xml:space="preserve">   4003 Episcopal Church Women</t>
  </si>
  <si>
    <t xml:space="preserve">   4004 All Angels Deaf Ministry</t>
  </si>
  <si>
    <t xml:space="preserve">   4005 Episcopal Diocese of Chicago</t>
  </si>
  <si>
    <t xml:space="preserve">   4006 Spiritual Care Visitor Training</t>
  </si>
  <si>
    <t xml:space="preserve">      4006.01 SCVT - Spring</t>
  </si>
  <si>
    <t xml:space="preserve">      4006.02 SCVT - Fall</t>
  </si>
  <si>
    <t xml:space="preserve">   Total 4006 Spiritual Care Visitor Training</t>
  </si>
  <si>
    <t xml:space="preserve">   4007 Seminar Receipts</t>
  </si>
  <si>
    <t xml:space="preserve">   4008 Miscellaneous</t>
  </si>
  <si>
    <t xml:space="preserve">   4010 Benefit</t>
  </si>
  <si>
    <t xml:space="preserve">      4010.01 Spring Benefit</t>
  </si>
  <si>
    <t xml:space="preserve">   Total 4010 Benefit</t>
  </si>
  <si>
    <t xml:space="preserve">   4012 Foundations</t>
  </si>
  <si>
    <t xml:space="preserve">   5000 Investment Income</t>
  </si>
  <si>
    <t xml:space="preserve">      5000.01 Wm. Blair Distribution</t>
  </si>
  <si>
    <t xml:space="preserve">      5000.02 Earnings From Diocese</t>
  </si>
  <si>
    <t xml:space="preserve">      5000.03 Other Interest Income</t>
  </si>
  <si>
    <t xml:space="preserve">   Total 5000 Investment Income</t>
  </si>
  <si>
    <t xml:space="preserve">   5200 Space in Kind</t>
  </si>
  <si>
    <t>Expenses</t>
  </si>
  <si>
    <t xml:space="preserve">   6100 Deaf Ministry</t>
  </si>
  <si>
    <t xml:space="preserve">      6100.01 Stipend</t>
  </si>
  <si>
    <t xml:space="preserve">      6100.02 Mileage</t>
  </si>
  <si>
    <t xml:space="preserve">      6100.03 Meals</t>
  </si>
  <si>
    <t xml:space="preserve">      6100.06 Misc.</t>
  </si>
  <si>
    <t xml:space="preserve">   Total 6100 Deaf Ministry</t>
  </si>
  <si>
    <t xml:space="preserve">   6110 Spiritual Care Visitor Training Expense</t>
  </si>
  <si>
    <t xml:space="preserve">      6100.07 SCVT Development</t>
  </si>
  <si>
    <t xml:space="preserve">      6110.01 SCVT Expense - Spring</t>
  </si>
  <si>
    <t xml:space="preserve">      6110.02 SCVT Expense - Fall</t>
  </si>
  <si>
    <t xml:space="preserve">   Total 6110 Spiritual Care Visitor Training Expense</t>
  </si>
  <si>
    <t xml:space="preserve">   6130 Benefit Expenses</t>
  </si>
  <si>
    <t xml:space="preserve">      6130.01 Spring Benefit</t>
  </si>
  <si>
    <t xml:space="preserve">   Total 6130 Benefit Expenses</t>
  </si>
  <si>
    <t xml:space="preserve">   6160 CORE Program</t>
  </si>
  <si>
    <t xml:space="preserve">   6180 Stroger Hospital Programs</t>
  </si>
  <si>
    <t xml:space="preserve">   6600 Public Relations/Development</t>
  </si>
  <si>
    <t xml:space="preserve">      6600.01 Website Expense</t>
  </si>
  <si>
    <t xml:space="preserve">      6600.02 Development</t>
  </si>
  <si>
    <t xml:space="preserve">      6600.03 Printing</t>
  </si>
  <si>
    <t xml:space="preserve">      6600.04 Social Media</t>
  </si>
  <si>
    <t xml:space="preserve">   Total 6600 Public Relations/Development</t>
  </si>
  <si>
    <t xml:space="preserve">   6700 Administrative Expenses</t>
  </si>
  <si>
    <t xml:space="preserve">      6700.03 Audit Expense</t>
  </si>
  <si>
    <t xml:space="preserve">      6700.04 Bank Service Charges</t>
  </si>
  <si>
    <t xml:space="preserve">      6700.06 Conferences and Retreats</t>
  </si>
  <si>
    <t xml:space="preserve">      6700.07 Continuing Education</t>
  </si>
  <si>
    <t xml:space="preserve">      6700.08 Credit Card Fees</t>
  </si>
  <si>
    <t xml:space="preserve">      6700.09 Dues and Subscriptions</t>
  </si>
  <si>
    <t xml:space="preserve">      6700.10 Facilities and Equipment</t>
  </si>
  <si>
    <t xml:space="preserve">      6700.12 Insurance</t>
  </si>
  <si>
    <t xml:space="preserve">      6700.14 Licenses</t>
  </si>
  <si>
    <t xml:space="preserve">      6700.15 Maintenance</t>
  </si>
  <si>
    <t xml:space="preserve">      6700.20 Payroll Expenses</t>
  </si>
  <si>
    <t xml:space="preserve">      6700.22 Postage</t>
  </si>
  <si>
    <t xml:space="preserve">      6700.23 Professional Services - Other</t>
  </si>
  <si>
    <t xml:space="preserve">      6700.28 Supplies</t>
  </si>
  <si>
    <t xml:space="preserve">      6700.30 Travel</t>
  </si>
  <si>
    <t xml:space="preserve">   Total 6700 Administrative Expenses</t>
  </si>
  <si>
    <t xml:space="preserve">   6800 Compensation</t>
  </si>
  <si>
    <t xml:space="preserve">      6800.01 Salaries</t>
  </si>
  <si>
    <t xml:space="preserve">      6800.02 Professional Services</t>
  </si>
  <si>
    <t xml:space="preserve">      6800.07 Payroll Taxes</t>
  </si>
  <si>
    <t xml:space="preserve">      6800.08 Fringe Benefits</t>
  </si>
  <si>
    <t xml:space="preserve">   Total 6800 Compensation</t>
  </si>
  <si>
    <t xml:space="preserve">   7000 Space In Kind Expense</t>
  </si>
  <si>
    <t>Total Expenses</t>
  </si>
  <si>
    <t xml:space="preserve">   8000 Other Income Wm. Blair</t>
  </si>
  <si>
    <t xml:space="preserve">      8000.01 Interest Wm. Blair</t>
  </si>
  <si>
    <t xml:space="preserve">      8000.04 Unrealized Gain (Loss) Wm. Blair</t>
  </si>
  <si>
    <t xml:space="preserve">   Total 8000 Other Income Wm. Blair</t>
  </si>
  <si>
    <t xml:space="preserve">   8020 Capital Campaign Receipts</t>
  </si>
  <si>
    <t xml:space="preserve">   8030 Transfer from Capital Funds</t>
  </si>
  <si>
    <t xml:space="preserve">      8030.01 Transfer from Capital Campain Fund</t>
  </si>
  <si>
    <t xml:space="preserve">   Total 8030 Transfer from Capital Funds</t>
  </si>
  <si>
    <t>Other Expenses</t>
  </si>
  <si>
    <t xml:space="preserve">   9000 Other Expense - Wm. Bair</t>
  </si>
  <si>
    <t xml:space="preserve">      9000.01 Taxes, Fees, &amp; Expenses Wm. Blair</t>
  </si>
  <si>
    <t xml:space="preserve">      9000.02 Withdrawals Wm. Blair</t>
  </si>
  <si>
    <t xml:space="preserve">   Total 9000 Other Expense - Wm. Bair</t>
  </si>
  <si>
    <t xml:space="preserve">   9020 Transfer Capital Receipts to Capital Funds</t>
  </si>
  <si>
    <t xml:space="preserve">      9020.05 Spiritual Care Visitor Training Fund</t>
  </si>
  <si>
    <t xml:space="preserve">      9020.07 Unrestricted Fund</t>
  </si>
  <si>
    <t xml:space="preserve">   Total 9020 Transfer Capital Receipts to Capital Funds</t>
  </si>
  <si>
    <t xml:space="preserve">   9030 Capital Campaign Expense</t>
  </si>
  <si>
    <t xml:space="preserve">      9030.01 Consulting Fees</t>
  </si>
  <si>
    <t xml:space="preserve">      9030.02 Capital Campaign Adm.</t>
  </si>
  <si>
    <t xml:space="preserve">      9030.03 Capital Campaign Meals</t>
  </si>
  <si>
    <t xml:space="preserve">      9030.05 Capital Campaign Adv &amp; Prnting</t>
  </si>
  <si>
    <t xml:space="preserve">      9030.06 Mailing and Postage</t>
  </si>
  <si>
    <t xml:space="preserve">   Total 9030 Capital Campaign Expense</t>
  </si>
  <si>
    <t>Total Other Expenses</t>
  </si>
  <si>
    <t>Bishop Anderson House</t>
  </si>
  <si>
    <t>Budget vs. Actuals</t>
  </si>
  <si>
    <t>June 2018 - YTD</t>
  </si>
  <si>
    <t>Notes</t>
  </si>
  <si>
    <t>June Year-to-Date</t>
  </si>
  <si>
    <t>Receipts</t>
  </si>
  <si>
    <t>Total Receipts</t>
  </si>
  <si>
    <t>Net Operating Receipts Over/(Under)</t>
  </si>
  <si>
    <t>Other Receipts</t>
  </si>
  <si>
    <t>Total Other Receipts</t>
  </si>
  <si>
    <t>Net Other Receipts Over/(Under)</t>
  </si>
  <si>
    <t>Net Receipts Over/(Under)</t>
  </si>
  <si>
    <t>Receipts less than prior year at this time</t>
  </si>
  <si>
    <t>Benefit receipts exceed anticipated totals</t>
  </si>
  <si>
    <t>Development of SCVT online tapes.  Previously coded to Capital Campaign</t>
  </si>
  <si>
    <t>Expenses slighly ahead of prior year at this time</t>
  </si>
  <si>
    <t>Church Medical Group refund of $2,726 from 2017 over payment</t>
  </si>
  <si>
    <t>Wm Blair new method of reporting monthly</t>
  </si>
  <si>
    <t>income &amp; expense in order to tie QB account</t>
  </si>
  <si>
    <t>balances to Wm Blair monthly reporting.</t>
  </si>
  <si>
    <t>Receipts greater than prior year at this time</t>
  </si>
  <si>
    <t>Benefit expenses exceed budget by $14,373 for consulting fees and $2,605 for printing.  Spring Benefit printing budged under "Printing"</t>
  </si>
  <si>
    <t>Spring Benefit printing expense of $2,605 coded to "Spring Benefit"</t>
  </si>
  <si>
    <t>Moved Grants expense &amp; budget dollars from "Professional Services"</t>
  </si>
  <si>
    <t>Bonnie Palmer website enhancements $1,013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</si>
</sst>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&quot;$&quot;* #,##0.00\ _€"/>
  </numFmts>
  <fonts count="10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4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6" fillId="0" borderId="0" xfId="0" quotePrefix="1" applyFont="1" applyAlignme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165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/>
    <xf numFmtId="165" fontId="2" fillId="0" borderId="4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left" wrapText="1"/>
    </xf>
    <xf numFmtId="165" fontId="2" fillId="0" borderId="5" xfId="0" applyNumberFormat="1" applyFont="1" applyBorder="1" applyAlignment="1">
      <alignment horizontal="right" wrapText="1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Border="1"/>
    <xf numFmtId="164" fontId="3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 horizontal="right" wrapText="1"/>
    </xf>
    <xf numFmtId="165" fontId="2" fillId="0" borderId="2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5"/>
  <sheetViews>
    <sheetView tabSelected="1" workbookViewId="0">
      <pane xSplit="37" ySplit="6" topLeftCell="AL7" activePane="bottomRight" state="frozen"/>
      <selection pane="topRight" activeCell="AL1" sqref="AL1"/>
      <selection pane="bottomLeft" activeCell="A7" sqref="A7"/>
      <selection pane="bottomRight" activeCell="A10" sqref="A10"/>
    </sheetView>
  </sheetViews>
  <sheetFormatPr defaultRowHeight="15" x14ac:dyDescent="0.25"/>
  <cols>
    <col min="1" max="1" width="40.7109375" customWidth="1"/>
    <col min="2" max="2" width="10.28515625" hidden="1" customWidth="1"/>
    <col min="3" max="3" width="9.42578125" hidden="1" customWidth="1"/>
    <col min="4" max="4" width="10.28515625" hidden="1" customWidth="1"/>
    <col min="5" max="5" width="12" hidden="1" customWidth="1"/>
    <col min="6" max="6" width="11.140625" hidden="1" customWidth="1"/>
    <col min="7" max="7" width="12" hidden="1" customWidth="1"/>
    <col min="8" max="8" width="11.140625" hidden="1" customWidth="1"/>
    <col min="9" max="9" width="9.42578125" hidden="1" customWidth="1"/>
    <col min="10" max="10" width="11.140625" hidden="1" customWidth="1"/>
    <col min="11" max="15" width="9.42578125" hidden="1" customWidth="1"/>
    <col min="16" max="16" width="10.28515625" hidden="1" customWidth="1"/>
    <col min="17" max="19" width="11.140625" hidden="1" customWidth="1"/>
    <col min="20" max="20" width="9.42578125" hidden="1" customWidth="1"/>
    <col min="21" max="21" width="10.28515625" hidden="1" customWidth="1"/>
    <col min="22" max="22" width="11.140625" hidden="1" customWidth="1"/>
    <col min="23" max="23" width="10.28515625" hidden="1" customWidth="1"/>
    <col min="24" max="25" width="11.140625" hidden="1" customWidth="1"/>
    <col min="26" max="27" width="10.28515625" hidden="1" customWidth="1"/>
    <col min="28" max="28" width="11.140625" hidden="1" customWidth="1"/>
    <col min="29" max="30" width="10.28515625" hidden="1" customWidth="1"/>
    <col min="31" max="31" width="11.140625" hidden="1" customWidth="1"/>
    <col min="32" max="32" width="10.28515625" hidden="1" customWidth="1"/>
    <col min="33" max="33" width="9.42578125" hidden="1" customWidth="1"/>
    <col min="34" max="34" width="11.140625" hidden="1" customWidth="1"/>
    <col min="35" max="36" width="10.28515625" hidden="1" customWidth="1"/>
    <col min="37" max="37" width="11.140625" hidden="1" customWidth="1"/>
    <col min="38" max="40" width="11.140625" customWidth="1"/>
    <col min="41" max="41" width="2.7109375" customWidth="1"/>
    <col min="42" max="42" width="11.140625" customWidth="1"/>
    <col min="43" max="43" width="2.7109375" customWidth="1"/>
    <col min="44" max="44" width="33.42578125" customWidth="1"/>
  </cols>
  <sheetData>
    <row r="1" spans="1:44" ht="18" x14ac:dyDescent="0.25">
      <c r="A1" s="8" t="s">
        <v>113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P1" s="9"/>
    </row>
    <row r="2" spans="1:44" ht="18" x14ac:dyDescent="0.25">
      <c r="A2" s="10" t="s">
        <v>114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P2" s="9"/>
    </row>
    <row r="3" spans="1:44" x14ac:dyDescent="0.25">
      <c r="A3" s="11" t="s">
        <v>115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P3" s="9"/>
    </row>
    <row r="5" spans="1:44" ht="15" customHeight="1" x14ac:dyDescent="0.25">
      <c r="A5" s="1"/>
      <c r="B5" s="14" t="s">
        <v>0</v>
      </c>
      <c r="C5" s="15"/>
      <c r="D5" s="15"/>
      <c r="E5" s="14" t="s">
        <v>1</v>
      </c>
      <c r="F5" s="15"/>
      <c r="G5" s="15"/>
      <c r="H5" s="14" t="s">
        <v>2</v>
      </c>
      <c r="I5" s="15"/>
      <c r="J5" s="15"/>
      <c r="K5" s="14" t="s">
        <v>3</v>
      </c>
      <c r="L5" s="15"/>
      <c r="M5" s="15"/>
      <c r="N5" s="14" t="s">
        <v>4</v>
      </c>
      <c r="O5" s="15"/>
      <c r="P5" s="15"/>
      <c r="Q5" s="14" t="s">
        <v>5</v>
      </c>
      <c r="R5" s="15"/>
      <c r="S5" s="15"/>
      <c r="T5" s="14" t="s">
        <v>6</v>
      </c>
      <c r="U5" s="15"/>
      <c r="V5" s="15"/>
      <c r="W5" s="14" t="s">
        <v>7</v>
      </c>
      <c r="X5" s="15"/>
      <c r="Y5" s="15"/>
      <c r="Z5" s="14" t="s">
        <v>8</v>
      </c>
      <c r="AA5" s="15"/>
      <c r="AB5" s="15"/>
      <c r="AC5" s="14" t="s">
        <v>9</v>
      </c>
      <c r="AD5" s="15"/>
      <c r="AE5" s="15"/>
      <c r="AF5" s="14" t="s">
        <v>10</v>
      </c>
      <c r="AG5" s="15"/>
      <c r="AH5" s="15"/>
      <c r="AI5" s="14" t="s">
        <v>11</v>
      </c>
      <c r="AJ5" s="15"/>
      <c r="AK5" s="15"/>
      <c r="AL5" s="16" t="s">
        <v>117</v>
      </c>
      <c r="AM5" s="15"/>
      <c r="AN5" s="15"/>
      <c r="AP5" s="12">
        <v>2018</v>
      </c>
    </row>
    <row r="6" spans="1:44" ht="24.75" x14ac:dyDescent="0.25">
      <c r="A6" s="1"/>
      <c r="B6" s="2" t="s">
        <v>12</v>
      </c>
      <c r="C6" s="2" t="s">
        <v>13</v>
      </c>
      <c r="D6" s="2" t="s">
        <v>14</v>
      </c>
      <c r="E6" s="2" t="s">
        <v>12</v>
      </c>
      <c r="F6" s="2" t="s">
        <v>13</v>
      </c>
      <c r="G6" s="2" t="s">
        <v>14</v>
      </c>
      <c r="H6" s="2" t="s">
        <v>12</v>
      </c>
      <c r="I6" s="2" t="s">
        <v>13</v>
      </c>
      <c r="J6" s="2" t="s">
        <v>14</v>
      </c>
      <c r="K6" s="2" t="s">
        <v>12</v>
      </c>
      <c r="L6" s="2" t="s">
        <v>13</v>
      </c>
      <c r="M6" s="2" t="s">
        <v>14</v>
      </c>
      <c r="N6" s="2" t="s">
        <v>12</v>
      </c>
      <c r="O6" s="2" t="s">
        <v>13</v>
      </c>
      <c r="P6" s="2" t="s">
        <v>14</v>
      </c>
      <c r="Q6" s="2" t="s">
        <v>12</v>
      </c>
      <c r="R6" s="2" t="s">
        <v>13</v>
      </c>
      <c r="S6" s="2" t="s">
        <v>14</v>
      </c>
      <c r="T6" s="2" t="s">
        <v>12</v>
      </c>
      <c r="U6" s="2" t="s">
        <v>13</v>
      </c>
      <c r="V6" s="2" t="s">
        <v>14</v>
      </c>
      <c r="W6" s="2" t="s">
        <v>12</v>
      </c>
      <c r="X6" s="2" t="s">
        <v>13</v>
      </c>
      <c r="Y6" s="2" t="s">
        <v>14</v>
      </c>
      <c r="Z6" s="2" t="s">
        <v>12</v>
      </c>
      <c r="AA6" s="2" t="s">
        <v>13</v>
      </c>
      <c r="AB6" s="2" t="s">
        <v>14</v>
      </c>
      <c r="AC6" s="2" t="s">
        <v>12</v>
      </c>
      <c r="AD6" s="2" t="s">
        <v>13</v>
      </c>
      <c r="AE6" s="2" t="s">
        <v>14</v>
      </c>
      <c r="AF6" s="2" t="s">
        <v>12</v>
      </c>
      <c r="AG6" s="2" t="s">
        <v>13</v>
      </c>
      <c r="AH6" s="2" t="s">
        <v>14</v>
      </c>
      <c r="AI6" s="2" t="s">
        <v>12</v>
      </c>
      <c r="AJ6" s="2" t="s">
        <v>13</v>
      </c>
      <c r="AK6" s="2" t="s">
        <v>14</v>
      </c>
      <c r="AL6" s="2" t="s">
        <v>12</v>
      </c>
      <c r="AM6" s="2" t="s">
        <v>13</v>
      </c>
      <c r="AN6" s="2" t="s">
        <v>14</v>
      </c>
      <c r="AP6" s="2" t="s">
        <v>13</v>
      </c>
      <c r="AR6" s="13" t="s">
        <v>116</v>
      </c>
    </row>
    <row r="7" spans="1:44" x14ac:dyDescent="0.25">
      <c r="A7" s="17" t="s">
        <v>118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27"/>
      <c r="AM7" s="4"/>
      <c r="AN7" s="4"/>
      <c r="AP7" s="4"/>
      <c r="AR7" s="24"/>
    </row>
    <row r="8" spans="1:44" x14ac:dyDescent="0.25">
      <c r="A8" s="3" t="s">
        <v>15</v>
      </c>
      <c r="B8" s="4"/>
      <c r="C8" s="4"/>
      <c r="D8" s="5">
        <f t="shared" ref="D8:D43" si="0">(B8)-(C8)</f>
        <v>0</v>
      </c>
      <c r="E8" s="4"/>
      <c r="F8" s="4"/>
      <c r="G8" s="5">
        <f t="shared" ref="G8:G43" si="1">(E8)-(F8)</f>
        <v>0</v>
      </c>
      <c r="H8" s="4"/>
      <c r="I8" s="4"/>
      <c r="J8" s="5">
        <f t="shared" ref="J8:J43" si="2">(H8)-(I8)</f>
        <v>0</v>
      </c>
      <c r="K8" s="4"/>
      <c r="L8" s="4"/>
      <c r="M8" s="5">
        <f t="shared" ref="M8:M43" si="3">(K8)-(L8)</f>
        <v>0</v>
      </c>
      <c r="N8" s="4"/>
      <c r="O8" s="4"/>
      <c r="P8" s="5">
        <f t="shared" ref="P8:P43" si="4">(N8)-(O8)</f>
        <v>0</v>
      </c>
      <c r="Q8" s="4"/>
      <c r="R8" s="4"/>
      <c r="S8" s="5">
        <f t="shared" ref="S8:S43" si="5">(Q8)-(R8)</f>
        <v>0</v>
      </c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28">
        <f t="shared" ref="AL8:AL43" si="6">(((((((((((B8)+(E8))+(H8))+(K8))+(N8))+(Q8))+(T8))+(W8))+(Z8))+(AC8))+(AF8))+(AI8)</f>
        <v>0</v>
      </c>
      <c r="AM8" s="5">
        <f t="shared" ref="AM8:AM43" si="7">(((((((((((C8)+(F8))+(I8))+(L8))+(O8))+(R8))+(U8))+(X8))+(AA8))+(AD8))+(AG8))+(AJ8)</f>
        <v>0</v>
      </c>
      <c r="AN8" s="5">
        <f t="shared" ref="AN8:AN43" si="8">(AL8)-(AM8)</f>
        <v>0</v>
      </c>
      <c r="AP8" s="5">
        <v>0</v>
      </c>
      <c r="AR8" s="24"/>
    </row>
    <row r="9" spans="1:44" x14ac:dyDescent="0.25">
      <c r="A9" s="3" t="s">
        <v>16</v>
      </c>
      <c r="B9" s="5">
        <f>1700</f>
        <v>1700</v>
      </c>
      <c r="C9" s="5">
        <f>1556</f>
        <v>1556</v>
      </c>
      <c r="D9" s="5">
        <f t="shared" si="0"/>
        <v>144</v>
      </c>
      <c r="E9" s="4"/>
      <c r="F9" s="5">
        <f>663</f>
        <v>663</v>
      </c>
      <c r="G9" s="5">
        <f t="shared" si="1"/>
        <v>-663</v>
      </c>
      <c r="H9" s="5">
        <f>4000</f>
        <v>4000</v>
      </c>
      <c r="I9" s="5">
        <f>5611</f>
        <v>5611</v>
      </c>
      <c r="J9" s="5">
        <f t="shared" si="2"/>
        <v>-1611</v>
      </c>
      <c r="K9" s="4"/>
      <c r="L9" s="5">
        <f>479</f>
        <v>479</v>
      </c>
      <c r="M9" s="5">
        <f t="shared" si="3"/>
        <v>-479</v>
      </c>
      <c r="N9" s="4"/>
      <c r="O9" s="5">
        <f>6631</f>
        <v>6631</v>
      </c>
      <c r="P9" s="5">
        <f t="shared" si="4"/>
        <v>-6631</v>
      </c>
      <c r="Q9" s="5">
        <f>7000</f>
        <v>7000</v>
      </c>
      <c r="R9" s="5">
        <f>1020</f>
        <v>1020</v>
      </c>
      <c r="S9" s="5">
        <f t="shared" si="5"/>
        <v>5980</v>
      </c>
      <c r="T9" s="4"/>
      <c r="U9" s="5"/>
      <c r="V9" s="5"/>
      <c r="W9" s="4"/>
      <c r="X9" s="5"/>
      <c r="Y9" s="5"/>
      <c r="Z9" s="4"/>
      <c r="AA9" s="5"/>
      <c r="AB9" s="5"/>
      <c r="AC9" s="4"/>
      <c r="AD9" s="5"/>
      <c r="AE9" s="5"/>
      <c r="AF9" s="4"/>
      <c r="AG9" s="5"/>
      <c r="AH9" s="5"/>
      <c r="AI9" s="4"/>
      <c r="AJ9" s="5"/>
      <c r="AK9" s="5"/>
      <c r="AL9" s="28">
        <f t="shared" si="6"/>
        <v>12700</v>
      </c>
      <c r="AM9" s="5">
        <f t="shared" si="7"/>
        <v>15960</v>
      </c>
      <c r="AN9" s="5">
        <f t="shared" si="8"/>
        <v>-3260</v>
      </c>
      <c r="AP9" s="5">
        <v>18000</v>
      </c>
      <c r="AR9" s="24" t="s">
        <v>125</v>
      </c>
    </row>
    <row r="10" spans="1:44" x14ac:dyDescent="0.25">
      <c r="A10" s="3" t="s">
        <v>17</v>
      </c>
      <c r="B10" s="5">
        <f>4063</f>
        <v>4063</v>
      </c>
      <c r="C10" s="5">
        <f>4816</f>
        <v>4816</v>
      </c>
      <c r="D10" s="5">
        <f t="shared" si="0"/>
        <v>-753</v>
      </c>
      <c r="E10" s="5">
        <f>398</f>
        <v>398</v>
      </c>
      <c r="F10" s="5">
        <f>892</f>
        <v>892</v>
      </c>
      <c r="G10" s="5">
        <f t="shared" si="1"/>
        <v>-494</v>
      </c>
      <c r="H10" s="5">
        <f>255</f>
        <v>255</v>
      </c>
      <c r="I10" s="5">
        <f>424</f>
        <v>424</v>
      </c>
      <c r="J10" s="5">
        <f t="shared" si="2"/>
        <v>-169</v>
      </c>
      <c r="K10" s="5">
        <f>425</f>
        <v>425</v>
      </c>
      <c r="L10" s="5">
        <f>360</f>
        <v>360</v>
      </c>
      <c r="M10" s="5">
        <f t="shared" si="3"/>
        <v>65</v>
      </c>
      <c r="N10" s="5">
        <f>828</f>
        <v>828</v>
      </c>
      <c r="O10" s="5">
        <f>0</f>
        <v>0</v>
      </c>
      <c r="P10" s="5">
        <f t="shared" si="4"/>
        <v>828</v>
      </c>
      <c r="Q10" s="5">
        <f>518</f>
        <v>518</v>
      </c>
      <c r="R10" s="5">
        <f>1419</f>
        <v>1419</v>
      </c>
      <c r="S10" s="5">
        <f t="shared" si="5"/>
        <v>-901</v>
      </c>
      <c r="T10" s="4"/>
      <c r="U10" s="5"/>
      <c r="V10" s="5"/>
      <c r="W10" s="4"/>
      <c r="X10" s="5"/>
      <c r="Y10" s="5"/>
      <c r="Z10" s="4"/>
      <c r="AA10" s="5"/>
      <c r="AB10" s="5"/>
      <c r="AC10" s="4"/>
      <c r="AD10" s="5"/>
      <c r="AE10" s="5"/>
      <c r="AF10" s="4"/>
      <c r="AG10" s="5"/>
      <c r="AH10" s="5"/>
      <c r="AI10" s="4"/>
      <c r="AJ10" s="5"/>
      <c r="AK10" s="5"/>
      <c r="AL10" s="28">
        <f t="shared" si="6"/>
        <v>6487</v>
      </c>
      <c r="AM10" s="5">
        <f t="shared" si="7"/>
        <v>7911</v>
      </c>
      <c r="AN10" s="5">
        <f t="shared" si="8"/>
        <v>-1424</v>
      </c>
      <c r="AP10" s="5">
        <v>30000</v>
      </c>
      <c r="AR10" s="24" t="s">
        <v>125</v>
      </c>
    </row>
    <row r="11" spans="1:44" x14ac:dyDescent="0.25">
      <c r="A11" s="3" t="s">
        <v>18</v>
      </c>
      <c r="B11" s="5">
        <f>475</f>
        <v>475</v>
      </c>
      <c r="C11" s="5">
        <f>0</f>
        <v>0</v>
      </c>
      <c r="D11" s="5">
        <f t="shared" si="0"/>
        <v>475</v>
      </c>
      <c r="E11" s="5">
        <f>19.93</f>
        <v>19.93</v>
      </c>
      <c r="F11" s="5">
        <f>0</f>
        <v>0</v>
      </c>
      <c r="G11" s="5">
        <f t="shared" si="1"/>
        <v>19.93</v>
      </c>
      <c r="H11" s="4"/>
      <c r="I11" s="5">
        <f>0</f>
        <v>0</v>
      </c>
      <c r="J11" s="5">
        <f t="shared" si="2"/>
        <v>0</v>
      </c>
      <c r="K11" s="4"/>
      <c r="L11" s="5">
        <f>0</f>
        <v>0</v>
      </c>
      <c r="M11" s="5">
        <f t="shared" si="3"/>
        <v>0</v>
      </c>
      <c r="N11" s="5">
        <f>5</f>
        <v>5</v>
      </c>
      <c r="O11" s="5">
        <f>0</f>
        <v>0</v>
      </c>
      <c r="P11" s="5">
        <f t="shared" si="4"/>
        <v>5</v>
      </c>
      <c r="Q11" s="4"/>
      <c r="R11" s="5">
        <f>0</f>
        <v>0</v>
      </c>
      <c r="S11" s="5">
        <f t="shared" si="5"/>
        <v>0</v>
      </c>
      <c r="T11" s="4"/>
      <c r="U11" s="5"/>
      <c r="V11" s="5"/>
      <c r="W11" s="4"/>
      <c r="X11" s="5"/>
      <c r="Y11" s="5"/>
      <c r="Z11" s="4"/>
      <c r="AA11" s="5"/>
      <c r="AB11" s="5"/>
      <c r="AC11" s="4"/>
      <c r="AD11" s="5"/>
      <c r="AE11" s="5"/>
      <c r="AF11" s="4"/>
      <c r="AG11" s="5"/>
      <c r="AH11" s="5"/>
      <c r="AI11" s="4"/>
      <c r="AJ11" s="5"/>
      <c r="AK11" s="5"/>
      <c r="AL11" s="28">
        <f t="shared" si="6"/>
        <v>499.93</v>
      </c>
      <c r="AM11" s="5">
        <f t="shared" si="7"/>
        <v>0</v>
      </c>
      <c r="AN11" s="5">
        <f t="shared" si="8"/>
        <v>499.93</v>
      </c>
      <c r="AP11" s="5">
        <v>2500</v>
      </c>
      <c r="AR11" s="24"/>
    </row>
    <row r="12" spans="1:44" x14ac:dyDescent="0.25">
      <c r="A12" s="3" t="s">
        <v>19</v>
      </c>
      <c r="B12" s="6">
        <f>(((B8)+(B9))+(B10))+(B11)</f>
        <v>6238</v>
      </c>
      <c r="C12" s="6">
        <f>(((C8)+(C9))+(C10))+(C11)</f>
        <v>6372</v>
      </c>
      <c r="D12" s="6">
        <f t="shared" si="0"/>
        <v>-134</v>
      </c>
      <c r="E12" s="6">
        <f>(((E8)+(E9))+(E10))+(E11)</f>
        <v>417.93</v>
      </c>
      <c r="F12" s="6">
        <f>(((F8)+(F9))+(F10))+(F11)</f>
        <v>1555</v>
      </c>
      <c r="G12" s="6">
        <f t="shared" si="1"/>
        <v>-1137.07</v>
      </c>
      <c r="H12" s="6">
        <f>(((H8)+(H9))+(H10))+(H11)</f>
        <v>4255</v>
      </c>
      <c r="I12" s="6">
        <f>(((I8)+(I9))+(I10))+(I11)</f>
        <v>6035</v>
      </c>
      <c r="J12" s="6">
        <f t="shared" si="2"/>
        <v>-1780</v>
      </c>
      <c r="K12" s="6">
        <f>(((K8)+(K9))+(K10))+(K11)</f>
        <v>425</v>
      </c>
      <c r="L12" s="6">
        <f>(((L8)+(L9))+(L10))+(L11)</f>
        <v>839</v>
      </c>
      <c r="M12" s="6">
        <f t="shared" si="3"/>
        <v>-414</v>
      </c>
      <c r="N12" s="6">
        <f>(((N8)+(N9))+(N10))+(N11)</f>
        <v>833</v>
      </c>
      <c r="O12" s="6">
        <f>(((O8)+(O9))+(O10))+(O11)</f>
        <v>6631</v>
      </c>
      <c r="P12" s="6">
        <f t="shared" si="4"/>
        <v>-5798</v>
      </c>
      <c r="Q12" s="6">
        <f>(((Q8)+(Q9))+(Q10))+(Q11)</f>
        <v>7518</v>
      </c>
      <c r="R12" s="6">
        <f>(((R8)+(R9))+(R10))+(R11)</f>
        <v>2439</v>
      </c>
      <c r="S12" s="6">
        <f t="shared" si="5"/>
        <v>5079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29">
        <f t="shared" si="6"/>
        <v>19686.93</v>
      </c>
      <c r="AM12" s="6">
        <f t="shared" si="7"/>
        <v>23871</v>
      </c>
      <c r="AN12" s="6">
        <f t="shared" si="8"/>
        <v>-4184.07</v>
      </c>
      <c r="AP12" s="6">
        <v>50500</v>
      </c>
      <c r="AR12" s="24"/>
    </row>
    <row r="13" spans="1:44" x14ac:dyDescent="0.25">
      <c r="A13" s="3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30"/>
      <c r="AM13" s="18"/>
      <c r="AN13" s="18"/>
      <c r="AP13" s="18"/>
      <c r="AR13" s="24"/>
    </row>
    <row r="14" spans="1:44" x14ac:dyDescent="0.25">
      <c r="A14" s="3" t="s">
        <v>20</v>
      </c>
      <c r="B14" s="5">
        <f>13500</f>
        <v>13500</v>
      </c>
      <c r="C14" s="5">
        <f>13500</f>
        <v>13500</v>
      </c>
      <c r="D14" s="5">
        <f t="shared" si="0"/>
        <v>0</v>
      </c>
      <c r="E14" s="4"/>
      <c r="F14" s="5">
        <f>0</f>
        <v>0</v>
      </c>
      <c r="G14" s="5">
        <f t="shared" si="1"/>
        <v>0</v>
      </c>
      <c r="H14" s="4"/>
      <c r="I14" s="5">
        <f>0</f>
        <v>0</v>
      </c>
      <c r="J14" s="5">
        <f t="shared" si="2"/>
        <v>0</v>
      </c>
      <c r="K14" s="5">
        <f>13500</f>
        <v>13500</v>
      </c>
      <c r="L14" s="5">
        <f>13500</f>
        <v>13500</v>
      </c>
      <c r="M14" s="5">
        <f t="shared" si="3"/>
        <v>0</v>
      </c>
      <c r="N14" s="4"/>
      <c r="O14" s="5">
        <f>0</f>
        <v>0</v>
      </c>
      <c r="P14" s="5">
        <f t="shared" si="4"/>
        <v>0</v>
      </c>
      <c r="Q14" s="4"/>
      <c r="R14" s="5">
        <f>0</f>
        <v>0</v>
      </c>
      <c r="S14" s="5">
        <f t="shared" si="5"/>
        <v>0</v>
      </c>
      <c r="T14" s="4"/>
      <c r="U14" s="5"/>
      <c r="V14" s="5"/>
      <c r="W14" s="4"/>
      <c r="X14" s="5"/>
      <c r="Y14" s="5"/>
      <c r="Z14" s="4"/>
      <c r="AA14" s="5"/>
      <c r="AB14" s="5"/>
      <c r="AC14" s="4"/>
      <c r="AD14" s="5"/>
      <c r="AE14" s="5"/>
      <c r="AF14" s="4"/>
      <c r="AG14" s="5"/>
      <c r="AH14" s="5"/>
      <c r="AI14" s="4"/>
      <c r="AJ14" s="5"/>
      <c r="AK14" s="5"/>
      <c r="AL14" s="28">
        <f t="shared" si="6"/>
        <v>27000</v>
      </c>
      <c r="AM14" s="5">
        <f t="shared" si="7"/>
        <v>27000</v>
      </c>
      <c r="AN14" s="5">
        <f t="shared" si="8"/>
        <v>0</v>
      </c>
      <c r="AP14" s="5">
        <v>54000</v>
      </c>
      <c r="AR14" s="24"/>
    </row>
    <row r="15" spans="1:44" x14ac:dyDescent="0.25">
      <c r="A15" s="3" t="s">
        <v>21</v>
      </c>
      <c r="B15" s="4"/>
      <c r="C15" s="5">
        <f>0</f>
        <v>0</v>
      </c>
      <c r="D15" s="5">
        <f t="shared" si="0"/>
        <v>0</v>
      </c>
      <c r="E15" s="4"/>
      <c r="F15" s="5">
        <f>500</f>
        <v>500</v>
      </c>
      <c r="G15" s="5">
        <f t="shared" si="1"/>
        <v>-500</v>
      </c>
      <c r="H15" s="4"/>
      <c r="I15" s="5">
        <f>0</f>
        <v>0</v>
      </c>
      <c r="J15" s="5">
        <f t="shared" si="2"/>
        <v>0</v>
      </c>
      <c r="K15" s="4"/>
      <c r="L15" s="5">
        <f>0</f>
        <v>0</v>
      </c>
      <c r="M15" s="5">
        <f t="shared" si="3"/>
        <v>0</v>
      </c>
      <c r="N15" s="4"/>
      <c r="O15" s="5">
        <f>0</f>
        <v>0</v>
      </c>
      <c r="P15" s="5">
        <f t="shared" si="4"/>
        <v>0</v>
      </c>
      <c r="Q15" s="5">
        <f>1000</f>
        <v>1000</v>
      </c>
      <c r="R15" s="5">
        <f>0</f>
        <v>0</v>
      </c>
      <c r="S15" s="5">
        <f t="shared" si="5"/>
        <v>1000</v>
      </c>
      <c r="T15" s="4"/>
      <c r="U15" s="5"/>
      <c r="V15" s="5"/>
      <c r="W15" s="4"/>
      <c r="X15" s="5"/>
      <c r="Y15" s="5"/>
      <c r="Z15" s="4"/>
      <c r="AA15" s="5"/>
      <c r="AB15" s="5"/>
      <c r="AC15" s="4"/>
      <c r="AD15" s="5"/>
      <c r="AE15" s="5"/>
      <c r="AF15" s="4"/>
      <c r="AG15" s="5"/>
      <c r="AH15" s="5"/>
      <c r="AI15" s="4"/>
      <c r="AJ15" s="5"/>
      <c r="AK15" s="5"/>
      <c r="AL15" s="28">
        <f t="shared" si="6"/>
        <v>1000</v>
      </c>
      <c r="AM15" s="5">
        <f t="shared" si="7"/>
        <v>500</v>
      </c>
      <c r="AN15" s="5">
        <f t="shared" si="8"/>
        <v>500</v>
      </c>
      <c r="AP15" s="5">
        <v>1000</v>
      </c>
      <c r="AR15" s="24"/>
    </row>
    <row r="16" spans="1:44" x14ac:dyDescent="0.25">
      <c r="A16" s="3" t="s">
        <v>22</v>
      </c>
      <c r="B16" s="4"/>
      <c r="C16" s="5">
        <f>0</f>
        <v>0</v>
      </c>
      <c r="D16" s="5">
        <f t="shared" si="0"/>
        <v>0</v>
      </c>
      <c r="E16" s="4"/>
      <c r="F16" s="5">
        <f>6870</f>
        <v>6870</v>
      </c>
      <c r="G16" s="5">
        <f t="shared" si="1"/>
        <v>-6870</v>
      </c>
      <c r="H16" s="4"/>
      <c r="I16" s="5">
        <f>0</f>
        <v>0</v>
      </c>
      <c r="J16" s="5">
        <f t="shared" si="2"/>
        <v>0</v>
      </c>
      <c r="K16" s="5">
        <f>7649</f>
        <v>7649</v>
      </c>
      <c r="L16" s="5">
        <f>0</f>
        <v>0</v>
      </c>
      <c r="M16" s="5">
        <f t="shared" si="3"/>
        <v>7649</v>
      </c>
      <c r="N16" s="4"/>
      <c r="O16" s="5">
        <f>0</f>
        <v>0</v>
      </c>
      <c r="P16" s="5">
        <f t="shared" si="4"/>
        <v>0</v>
      </c>
      <c r="Q16" s="4"/>
      <c r="R16" s="5">
        <f>0</f>
        <v>0</v>
      </c>
      <c r="S16" s="5">
        <f t="shared" si="5"/>
        <v>0</v>
      </c>
      <c r="T16" s="4"/>
      <c r="U16" s="5"/>
      <c r="V16" s="5"/>
      <c r="W16" s="4"/>
      <c r="X16" s="5"/>
      <c r="Y16" s="5"/>
      <c r="Z16" s="4"/>
      <c r="AA16" s="5"/>
      <c r="AB16" s="5"/>
      <c r="AC16" s="4"/>
      <c r="AD16" s="5"/>
      <c r="AE16" s="5"/>
      <c r="AF16" s="4"/>
      <c r="AG16" s="5"/>
      <c r="AH16" s="5"/>
      <c r="AI16" s="4"/>
      <c r="AJ16" s="5"/>
      <c r="AK16" s="5"/>
      <c r="AL16" s="28">
        <f t="shared" si="6"/>
        <v>7649</v>
      </c>
      <c r="AM16" s="5">
        <f t="shared" si="7"/>
        <v>6870</v>
      </c>
      <c r="AN16" s="5">
        <f t="shared" si="8"/>
        <v>779</v>
      </c>
      <c r="AP16" s="5">
        <v>6870</v>
      </c>
      <c r="AR16" s="24"/>
    </row>
    <row r="17" spans="1:44" x14ac:dyDescent="0.25">
      <c r="A17" s="3" t="s">
        <v>23</v>
      </c>
      <c r="B17" s="4"/>
      <c r="C17" s="5">
        <f>500</f>
        <v>500</v>
      </c>
      <c r="D17" s="5">
        <f t="shared" si="0"/>
        <v>-500</v>
      </c>
      <c r="E17" s="4"/>
      <c r="F17" s="5">
        <f>0</f>
        <v>0</v>
      </c>
      <c r="G17" s="5">
        <f t="shared" si="1"/>
        <v>0</v>
      </c>
      <c r="H17" s="4"/>
      <c r="I17" s="5">
        <f>0</f>
        <v>0</v>
      </c>
      <c r="J17" s="5">
        <f t="shared" si="2"/>
        <v>0</v>
      </c>
      <c r="K17" s="4"/>
      <c r="L17" s="5">
        <f>0</f>
        <v>0</v>
      </c>
      <c r="M17" s="5">
        <f t="shared" si="3"/>
        <v>0</v>
      </c>
      <c r="N17" s="4"/>
      <c r="O17" s="5">
        <f>0</f>
        <v>0</v>
      </c>
      <c r="P17" s="5">
        <f t="shared" si="4"/>
        <v>0</v>
      </c>
      <c r="Q17" s="4"/>
      <c r="R17" s="5">
        <f>0</f>
        <v>0</v>
      </c>
      <c r="S17" s="5">
        <f t="shared" si="5"/>
        <v>0</v>
      </c>
      <c r="T17" s="4"/>
      <c r="U17" s="5"/>
      <c r="V17" s="5"/>
      <c r="W17" s="4"/>
      <c r="X17" s="5"/>
      <c r="Y17" s="5"/>
      <c r="Z17" s="4"/>
      <c r="AA17" s="5"/>
      <c r="AB17" s="5"/>
      <c r="AC17" s="4"/>
      <c r="AD17" s="5"/>
      <c r="AE17" s="5"/>
      <c r="AF17" s="4"/>
      <c r="AG17" s="5"/>
      <c r="AH17" s="5"/>
      <c r="AI17" s="4"/>
      <c r="AJ17" s="5"/>
      <c r="AK17" s="5"/>
      <c r="AL17" s="28">
        <f t="shared" si="6"/>
        <v>0</v>
      </c>
      <c r="AM17" s="5">
        <f t="shared" si="7"/>
        <v>500</v>
      </c>
      <c r="AN17" s="5">
        <f t="shared" si="8"/>
        <v>-500</v>
      </c>
      <c r="AP17" s="5">
        <v>1000</v>
      </c>
      <c r="AR17" s="24"/>
    </row>
    <row r="18" spans="1:44" x14ac:dyDescent="0.25">
      <c r="A18" s="3"/>
      <c r="B18" s="4"/>
      <c r="C18" s="5"/>
      <c r="D18" s="5"/>
      <c r="E18" s="4"/>
      <c r="F18" s="5"/>
      <c r="G18" s="5"/>
      <c r="H18" s="4"/>
      <c r="I18" s="5"/>
      <c r="J18" s="5"/>
      <c r="K18" s="4"/>
      <c r="L18" s="5"/>
      <c r="M18" s="5"/>
      <c r="N18" s="4"/>
      <c r="O18" s="5"/>
      <c r="P18" s="5"/>
      <c r="Q18" s="4"/>
      <c r="R18" s="5"/>
      <c r="S18" s="5"/>
      <c r="T18" s="4"/>
      <c r="U18" s="5"/>
      <c r="V18" s="5"/>
      <c r="W18" s="4"/>
      <c r="X18" s="5"/>
      <c r="Y18" s="5"/>
      <c r="Z18" s="4"/>
      <c r="AA18" s="5"/>
      <c r="AB18" s="5"/>
      <c r="AC18" s="4"/>
      <c r="AD18" s="5"/>
      <c r="AE18" s="5"/>
      <c r="AF18" s="4"/>
      <c r="AG18" s="5"/>
      <c r="AH18" s="5"/>
      <c r="AI18" s="4"/>
      <c r="AJ18" s="5"/>
      <c r="AK18" s="5"/>
      <c r="AL18" s="28"/>
      <c r="AM18" s="5"/>
      <c r="AN18" s="5"/>
      <c r="AP18" s="5"/>
      <c r="AR18" s="24"/>
    </row>
    <row r="19" spans="1:44" x14ac:dyDescent="0.25">
      <c r="A19" s="3" t="s">
        <v>24</v>
      </c>
      <c r="B19" s="4"/>
      <c r="C19" s="4"/>
      <c r="D19" s="5">
        <f t="shared" si="0"/>
        <v>0</v>
      </c>
      <c r="E19" s="4"/>
      <c r="F19" s="4"/>
      <c r="G19" s="5">
        <f t="shared" si="1"/>
        <v>0</v>
      </c>
      <c r="H19" s="4"/>
      <c r="I19" s="4"/>
      <c r="J19" s="5">
        <f t="shared" si="2"/>
        <v>0</v>
      </c>
      <c r="K19" s="4"/>
      <c r="L19" s="4"/>
      <c r="M19" s="5">
        <f t="shared" si="3"/>
        <v>0</v>
      </c>
      <c r="N19" s="4"/>
      <c r="O19" s="4"/>
      <c r="P19" s="5">
        <f t="shared" si="4"/>
        <v>0</v>
      </c>
      <c r="Q19" s="4"/>
      <c r="R19" s="4"/>
      <c r="S19" s="5">
        <f t="shared" si="5"/>
        <v>0</v>
      </c>
      <c r="T19" s="4"/>
      <c r="U19" s="4"/>
      <c r="V19" s="5"/>
      <c r="W19" s="4"/>
      <c r="X19" s="4"/>
      <c r="Y19" s="5"/>
      <c r="Z19" s="4"/>
      <c r="AA19" s="4"/>
      <c r="AB19" s="5"/>
      <c r="AC19" s="4"/>
      <c r="AD19" s="4"/>
      <c r="AE19" s="5"/>
      <c r="AF19" s="4"/>
      <c r="AG19" s="4"/>
      <c r="AH19" s="5"/>
      <c r="AI19" s="4"/>
      <c r="AJ19" s="4"/>
      <c r="AK19" s="5"/>
      <c r="AL19" s="28">
        <f t="shared" si="6"/>
        <v>0</v>
      </c>
      <c r="AM19" s="5">
        <f t="shared" si="7"/>
        <v>0</v>
      </c>
      <c r="AN19" s="5">
        <f t="shared" si="8"/>
        <v>0</v>
      </c>
      <c r="AP19" s="5">
        <v>0</v>
      </c>
      <c r="AR19" s="24"/>
    </row>
    <row r="20" spans="1:44" x14ac:dyDescent="0.25">
      <c r="A20" s="3" t="s">
        <v>25</v>
      </c>
      <c r="B20" s="5">
        <f>625</f>
        <v>625</v>
      </c>
      <c r="C20" s="5">
        <f>625</f>
        <v>625</v>
      </c>
      <c r="D20" s="5">
        <f t="shared" si="0"/>
        <v>0</v>
      </c>
      <c r="E20" s="5">
        <f>3677</f>
        <v>3677</v>
      </c>
      <c r="F20" s="5">
        <f>525</f>
        <v>525</v>
      </c>
      <c r="G20" s="5">
        <f t="shared" si="1"/>
        <v>3152</v>
      </c>
      <c r="H20" s="5">
        <f>1250</f>
        <v>1250</v>
      </c>
      <c r="I20" s="5">
        <f>3250</f>
        <v>3250</v>
      </c>
      <c r="J20" s="5">
        <f t="shared" si="2"/>
        <v>-2000</v>
      </c>
      <c r="K20" s="4"/>
      <c r="L20" s="5">
        <f>0</f>
        <v>0</v>
      </c>
      <c r="M20" s="5">
        <f t="shared" si="3"/>
        <v>0</v>
      </c>
      <c r="N20" s="5">
        <f>525</f>
        <v>525</v>
      </c>
      <c r="O20" s="5">
        <f>0</f>
        <v>0</v>
      </c>
      <c r="P20" s="5">
        <f t="shared" si="4"/>
        <v>525</v>
      </c>
      <c r="Q20" s="5">
        <f>325</f>
        <v>325</v>
      </c>
      <c r="R20" s="5">
        <f>0</f>
        <v>0</v>
      </c>
      <c r="S20" s="5">
        <f t="shared" si="5"/>
        <v>325</v>
      </c>
      <c r="T20" s="4"/>
      <c r="U20" s="5"/>
      <c r="V20" s="5"/>
      <c r="W20" s="4"/>
      <c r="X20" s="5"/>
      <c r="Y20" s="5"/>
      <c r="Z20" s="4"/>
      <c r="AA20" s="5"/>
      <c r="AB20" s="5"/>
      <c r="AC20" s="4"/>
      <c r="AD20" s="5"/>
      <c r="AE20" s="5"/>
      <c r="AF20" s="4"/>
      <c r="AG20" s="5"/>
      <c r="AH20" s="5"/>
      <c r="AI20" s="4"/>
      <c r="AJ20" s="5"/>
      <c r="AK20" s="5"/>
      <c r="AL20" s="28">
        <f t="shared" si="6"/>
        <v>6402</v>
      </c>
      <c r="AM20" s="5">
        <f t="shared" si="7"/>
        <v>4400</v>
      </c>
      <c r="AN20" s="5">
        <f t="shared" si="8"/>
        <v>2002</v>
      </c>
      <c r="AP20" s="5">
        <v>4400</v>
      </c>
      <c r="AR20" s="24" t="s">
        <v>133</v>
      </c>
    </row>
    <row r="21" spans="1:44" x14ac:dyDescent="0.25">
      <c r="A21" s="3" t="s">
        <v>26</v>
      </c>
      <c r="B21" s="4"/>
      <c r="C21" s="5">
        <f>0</f>
        <v>0</v>
      </c>
      <c r="D21" s="5">
        <f t="shared" si="0"/>
        <v>0</v>
      </c>
      <c r="E21" s="4"/>
      <c r="F21" s="5">
        <f>0</f>
        <v>0</v>
      </c>
      <c r="G21" s="5">
        <f t="shared" si="1"/>
        <v>0</v>
      </c>
      <c r="H21" s="4"/>
      <c r="I21" s="5">
        <f>0</f>
        <v>0</v>
      </c>
      <c r="J21" s="5">
        <f t="shared" si="2"/>
        <v>0</v>
      </c>
      <c r="K21" s="4"/>
      <c r="L21" s="5">
        <f>0</f>
        <v>0</v>
      </c>
      <c r="M21" s="5">
        <f t="shared" si="3"/>
        <v>0</v>
      </c>
      <c r="N21" s="4"/>
      <c r="O21" s="5">
        <f>0</f>
        <v>0</v>
      </c>
      <c r="P21" s="5">
        <f t="shared" si="4"/>
        <v>0</v>
      </c>
      <c r="Q21" s="4"/>
      <c r="R21" s="5">
        <f>0</f>
        <v>0</v>
      </c>
      <c r="S21" s="5">
        <f t="shared" si="5"/>
        <v>0</v>
      </c>
      <c r="T21" s="4"/>
      <c r="U21" s="5"/>
      <c r="V21" s="5"/>
      <c r="W21" s="4"/>
      <c r="X21" s="5"/>
      <c r="Y21" s="5"/>
      <c r="Z21" s="4"/>
      <c r="AA21" s="5"/>
      <c r="AB21" s="5"/>
      <c r="AC21" s="4"/>
      <c r="AD21" s="5"/>
      <c r="AE21" s="5"/>
      <c r="AF21" s="4"/>
      <c r="AG21" s="5"/>
      <c r="AH21" s="5"/>
      <c r="AI21" s="4"/>
      <c r="AJ21" s="5"/>
      <c r="AK21" s="5"/>
      <c r="AL21" s="28">
        <f t="shared" si="6"/>
        <v>0</v>
      </c>
      <c r="AM21" s="5">
        <f t="shared" si="7"/>
        <v>0</v>
      </c>
      <c r="AN21" s="5">
        <f t="shared" si="8"/>
        <v>0</v>
      </c>
      <c r="AP21" s="5">
        <v>6400</v>
      </c>
      <c r="AR21" s="24"/>
    </row>
    <row r="22" spans="1:44" x14ac:dyDescent="0.25">
      <c r="A22" s="3" t="s">
        <v>27</v>
      </c>
      <c r="B22" s="6">
        <f>((B19)+(B20))+(B21)</f>
        <v>625</v>
      </c>
      <c r="C22" s="6">
        <f>((C19)+(C20))+(C21)</f>
        <v>625</v>
      </c>
      <c r="D22" s="6">
        <f t="shared" si="0"/>
        <v>0</v>
      </c>
      <c r="E22" s="6">
        <f>((E19)+(E20))+(E21)</f>
        <v>3677</v>
      </c>
      <c r="F22" s="6">
        <f>((F19)+(F20))+(F21)</f>
        <v>525</v>
      </c>
      <c r="G22" s="6">
        <f t="shared" si="1"/>
        <v>3152</v>
      </c>
      <c r="H22" s="6">
        <f>((H19)+(H20))+(H21)</f>
        <v>1250</v>
      </c>
      <c r="I22" s="6">
        <f>((I19)+(I20))+(I21)</f>
        <v>3250</v>
      </c>
      <c r="J22" s="6">
        <f t="shared" si="2"/>
        <v>-2000</v>
      </c>
      <c r="K22" s="6">
        <f>((K19)+(K20))+(K21)</f>
        <v>0</v>
      </c>
      <c r="L22" s="6">
        <f>((L19)+(L20))+(L21)</f>
        <v>0</v>
      </c>
      <c r="M22" s="6">
        <f t="shared" si="3"/>
        <v>0</v>
      </c>
      <c r="N22" s="6">
        <f>((N19)+(N20))+(N21)</f>
        <v>525</v>
      </c>
      <c r="O22" s="6">
        <f>((O19)+(O20))+(O21)</f>
        <v>0</v>
      </c>
      <c r="P22" s="6">
        <f t="shared" si="4"/>
        <v>525</v>
      </c>
      <c r="Q22" s="6">
        <f>((Q19)+(Q20))+(Q21)</f>
        <v>325</v>
      </c>
      <c r="R22" s="6">
        <f>((R19)+(R20))+(R21)</f>
        <v>0</v>
      </c>
      <c r="S22" s="6">
        <f t="shared" si="5"/>
        <v>325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29">
        <f t="shared" si="6"/>
        <v>6402</v>
      </c>
      <c r="AM22" s="6">
        <f t="shared" si="7"/>
        <v>4400</v>
      </c>
      <c r="AN22" s="6">
        <f t="shared" si="8"/>
        <v>2002</v>
      </c>
      <c r="AP22" s="6">
        <v>10800</v>
      </c>
      <c r="AR22" s="24"/>
    </row>
    <row r="23" spans="1:44" x14ac:dyDescent="0.25">
      <c r="A23" s="3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30"/>
      <c r="AM23" s="18"/>
      <c r="AN23" s="18"/>
      <c r="AP23" s="18"/>
      <c r="AR23" s="24"/>
    </row>
    <row r="24" spans="1:44" x14ac:dyDescent="0.25">
      <c r="A24" s="3" t="s">
        <v>28</v>
      </c>
      <c r="B24" s="4"/>
      <c r="C24" s="5">
        <f>0</f>
        <v>0</v>
      </c>
      <c r="D24" s="5">
        <f t="shared" si="0"/>
        <v>0</v>
      </c>
      <c r="E24" s="4"/>
      <c r="F24" s="5">
        <f>0</f>
        <v>0</v>
      </c>
      <c r="G24" s="5">
        <f t="shared" si="1"/>
        <v>0</v>
      </c>
      <c r="H24" s="4"/>
      <c r="I24" s="5">
        <f>0</f>
        <v>0</v>
      </c>
      <c r="J24" s="5">
        <f t="shared" si="2"/>
        <v>0</v>
      </c>
      <c r="K24" s="5">
        <f>77</f>
        <v>77</v>
      </c>
      <c r="L24" s="5">
        <f>0</f>
        <v>0</v>
      </c>
      <c r="M24" s="5">
        <f t="shared" si="3"/>
        <v>77</v>
      </c>
      <c r="N24" s="5">
        <f>25</f>
        <v>25</v>
      </c>
      <c r="O24" s="5">
        <f>0</f>
        <v>0</v>
      </c>
      <c r="P24" s="5">
        <f t="shared" si="4"/>
        <v>25</v>
      </c>
      <c r="Q24" s="5">
        <f>35</f>
        <v>35</v>
      </c>
      <c r="R24" s="5">
        <f>0</f>
        <v>0</v>
      </c>
      <c r="S24" s="5">
        <f t="shared" si="5"/>
        <v>35</v>
      </c>
      <c r="T24" s="4"/>
      <c r="U24" s="5"/>
      <c r="V24" s="5"/>
      <c r="W24" s="4"/>
      <c r="X24" s="5"/>
      <c r="Y24" s="5"/>
      <c r="Z24" s="4"/>
      <c r="AA24" s="5"/>
      <c r="AB24" s="5"/>
      <c r="AC24" s="4"/>
      <c r="AD24" s="5"/>
      <c r="AE24" s="5"/>
      <c r="AF24" s="4"/>
      <c r="AG24" s="5"/>
      <c r="AH24" s="5"/>
      <c r="AI24" s="4"/>
      <c r="AJ24" s="5"/>
      <c r="AK24" s="5"/>
      <c r="AL24" s="28">
        <f t="shared" si="6"/>
        <v>137</v>
      </c>
      <c r="AM24" s="5">
        <f t="shared" si="7"/>
        <v>0</v>
      </c>
      <c r="AN24" s="5">
        <f t="shared" si="8"/>
        <v>137</v>
      </c>
      <c r="AP24" s="5">
        <v>940</v>
      </c>
      <c r="AR24" s="24"/>
    </row>
    <row r="25" spans="1:44" x14ac:dyDescent="0.25">
      <c r="A25" s="3" t="s">
        <v>29</v>
      </c>
      <c r="B25" s="5">
        <f>0</f>
        <v>0</v>
      </c>
      <c r="C25" s="4"/>
      <c r="D25" s="5">
        <f t="shared" si="0"/>
        <v>0</v>
      </c>
      <c r="E25" s="5">
        <f>0</f>
        <v>0</v>
      </c>
      <c r="F25" s="4"/>
      <c r="G25" s="5">
        <f t="shared" si="1"/>
        <v>0</v>
      </c>
      <c r="H25" s="5">
        <f>0</f>
        <v>0</v>
      </c>
      <c r="I25" s="4"/>
      <c r="J25" s="5">
        <f t="shared" si="2"/>
        <v>0</v>
      </c>
      <c r="K25" s="5">
        <f>0</f>
        <v>0</v>
      </c>
      <c r="L25" s="4"/>
      <c r="M25" s="5">
        <f t="shared" si="3"/>
        <v>0</v>
      </c>
      <c r="N25" s="5">
        <f>0</f>
        <v>0</v>
      </c>
      <c r="O25" s="4"/>
      <c r="P25" s="5">
        <f t="shared" si="4"/>
        <v>0</v>
      </c>
      <c r="Q25" s="5">
        <f>0</f>
        <v>0</v>
      </c>
      <c r="R25" s="4"/>
      <c r="S25" s="5">
        <f t="shared" si="5"/>
        <v>0</v>
      </c>
      <c r="T25" s="5"/>
      <c r="U25" s="4"/>
      <c r="V25" s="5"/>
      <c r="W25" s="4"/>
      <c r="X25" s="4"/>
      <c r="Y25" s="5"/>
      <c r="Z25" s="4"/>
      <c r="AA25" s="4"/>
      <c r="AB25" s="5"/>
      <c r="AC25" s="4"/>
      <c r="AD25" s="4"/>
      <c r="AE25" s="5"/>
      <c r="AF25" s="4"/>
      <c r="AG25" s="4"/>
      <c r="AH25" s="5"/>
      <c r="AI25" s="4"/>
      <c r="AJ25" s="4"/>
      <c r="AK25" s="5"/>
      <c r="AL25" s="28">
        <f t="shared" si="6"/>
        <v>0</v>
      </c>
      <c r="AM25" s="5">
        <f t="shared" si="7"/>
        <v>0</v>
      </c>
      <c r="AN25" s="5">
        <f t="shared" si="8"/>
        <v>0</v>
      </c>
      <c r="AP25" s="5">
        <v>0</v>
      </c>
      <c r="AR25" s="24"/>
    </row>
    <row r="26" spans="1:44" x14ac:dyDescent="0.25">
      <c r="A26" s="3"/>
      <c r="B26" s="5"/>
      <c r="C26" s="4"/>
      <c r="D26" s="5"/>
      <c r="E26" s="5"/>
      <c r="F26" s="4"/>
      <c r="G26" s="5"/>
      <c r="H26" s="5"/>
      <c r="I26" s="4"/>
      <c r="J26" s="5"/>
      <c r="K26" s="5"/>
      <c r="L26" s="4"/>
      <c r="M26" s="5"/>
      <c r="N26" s="5"/>
      <c r="O26" s="4"/>
      <c r="P26" s="5"/>
      <c r="Q26" s="5"/>
      <c r="R26" s="4"/>
      <c r="S26" s="5"/>
      <c r="T26" s="5"/>
      <c r="U26" s="4"/>
      <c r="V26" s="5"/>
      <c r="W26" s="4"/>
      <c r="X26" s="4"/>
      <c r="Y26" s="5"/>
      <c r="Z26" s="4"/>
      <c r="AA26" s="4"/>
      <c r="AB26" s="5"/>
      <c r="AC26" s="4"/>
      <c r="AD26" s="4"/>
      <c r="AE26" s="5"/>
      <c r="AF26" s="4"/>
      <c r="AG26" s="4"/>
      <c r="AH26" s="5"/>
      <c r="AI26" s="4"/>
      <c r="AJ26" s="4"/>
      <c r="AK26" s="5"/>
      <c r="AL26" s="28"/>
      <c r="AM26" s="5"/>
      <c r="AN26" s="5"/>
      <c r="AP26" s="5"/>
      <c r="AR26" s="24"/>
    </row>
    <row r="27" spans="1:44" x14ac:dyDescent="0.25">
      <c r="A27" s="3" t="s">
        <v>30</v>
      </c>
      <c r="B27" s="4"/>
      <c r="C27" s="4"/>
      <c r="D27" s="5">
        <f t="shared" si="0"/>
        <v>0</v>
      </c>
      <c r="E27" s="4"/>
      <c r="F27" s="4"/>
      <c r="G27" s="5">
        <f t="shared" si="1"/>
        <v>0</v>
      </c>
      <c r="H27" s="4"/>
      <c r="I27" s="4"/>
      <c r="J27" s="5">
        <f t="shared" si="2"/>
        <v>0</v>
      </c>
      <c r="K27" s="4"/>
      <c r="L27" s="4"/>
      <c r="M27" s="5">
        <f t="shared" si="3"/>
        <v>0</v>
      </c>
      <c r="N27" s="4"/>
      <c r="O27" s="4"/>
      <c r="P27" s="5">
        <f t="shared" si="4"/>
        <v>0</v>
      </c>
      <c r="Q27" s="4"/>
      <c r="R27" s="4"/>
      <c r="S27" s="5">
        <f t="shared" si="5"/>
        <v>0</v>
      </c>
      <c r="T27" s="4"/>
      <c r="U27" s="4"/>
      <c r="V27" s="5"/>
      <c r="W27" s="4"/>
      <c r="X27" s="4"/>
      <c r="Y27" s="5"/>
      <c r="Z27" s="4"/>
      <c r="AA27" s="4"/>
      <c r="AB27" s="5"/>
      <c r="AC27" s="4"/>
      <c r="AD27" s="4"/>
      <c r="AE27" s="5"/>
      <c r="AF27" s="4"/>
      <c r="AG27" s="4"/>
      <c r="AH27" s="5"/>
      <c r="AI27" s="4"/>
      <c r="AJ27" s="4"/>
      <c r="AK27" s="5"/>
      <c r="AL27" s="28">
        <f t="shared" si="6"/>
        <v>0</v>
      </c>
      <c r="AM27" s="5">
        <f t="shared" si="7"/>
        <v>0</v>
      </c>
      <c r="AN27" s="5">
        <f t="shared" si="8"/>
        <v>0</v>
      </c>
      <c r="AP27" s="5">
        <v>0</v>
      </c>
      <c r="AR27" s="24"/>
    </row>
    <row r="28" spans="1:44" x14ac:dyDescent="0.25">
      <c r="A28" s="3" t="s">
        <v>31</v>
      </c>
      <c r="B28" s="5">
        <f>1550</f>
        <v>1550</v>
      </c>
      <c r="C28" s="5">
        <f>0</f>
        <v>0</v>
      </c>
      <c r="D28" s="5">
        <f t="shared" si="0"/>
        <v>1550</v>
      </c>
      <c r="E28" s="5">
        <f>5325</f>
        <v>5325</v>
      </c>
      <c r="F28" s="5">
        <f>616</f>
        <v>616</v>
      </c>
      <c r="G28" s="5">
        <f t="shared" si="1"/>
        <v>4709</v>
      </c>
      <c r="H28" s="5">
        <f>8680</f>
        <v>8680</v>
      </c>
      <c r="I28" s="5">
        <f>17365</f>
        <v>17365</v>
      </c>
      <c r="J28" s="5">
        <f t="shared" si="2"/>
        <v>-8685</v>
      </c>
      <c r="K28" s="5">
        <f>18004</f>
        <v>18004</v>
      </c>
      <c r="L28" s="5">
        <f>11464</f>
        <v>11464</v>
      </c>
      <c r="M28" s="5">
        <f t="shared" si="3"/>
        <v>6540</v>
      </c>
      <c r="N28" s="5">
        <f>57653.42</f>
        <v>57653.42</v>
      </c>
      <c r="O28" s="5">
        <f>49891</f>
        <v>49891</v>
      </c>
      <c r="P28" s="5">
        <f t="shared" si="4"/>
        <v>7762.4199999999983</v>
      </c>
      <c r="Q28" s="5">
        <f>2250</f>
        <v>2250</v>
      </c>
      <c r="R28" s="5">
        <f>664</f>
        <v>664</v>
      </c>
      <c r="S28" s="5">
        <f t="shared" si="5"/>
        <v>1586</v>
      </c>
      <c r="T28" s="4"/>
      <c r="U28" s="5"/>
      <c r="V28" s="5"/>
      <c r="W28" s="4"/>
      <c r="X28" s="5"/>
      <c r="Y28" s="5"/>
      <c r="Z28" s="4"/>
      <c r="AA28" s="5"/>
      <c r="AB28" s="5"/>
      <c r="AC28" s="4"/>
      <c r="AD28" s="5"/>
      <c r="AE28" s="5"/>
      <c r="AF28" s="4"/>
      <c r="AG28" s="5"/>
      <c r="AH28" s="5"/>
      <c r="AI28" s="4"/>
      <c r="AJ28" s="5"/>
      <c r="AK28" s="5"/>
      <c r="AL28" s="28">
        <f t="shared" si="6"/>
        <v>93462.42</v>
      </c>
      <c r="AM28" s="5">
        <f t="shared" si="7"/>
        <v>80000</v>
      </c>
      <c r="AN28" s="5">
        <f t="shared" si="8"/>
        <v>13462.419999999998</v>
      </c>
      <c r="AP28" s="5">
        <v>80000</v>
      </c>
      <c r="AR28" s="24" t="s">
        <v>126</v>
      </c>
    </row>
    <row r="29" spans="1:44" x14ac:dyDescent="0.25">
      <c r="A29" s="3" t="s">
        <v>32</v>
      </c>
      <c r="B29" s="6">
        <f>(B27)+(B28)</f>
        <v>1550</v>
      </c>
      <c r="C29" s="6">
        <f>(C27)+(C28)</f>
        <v>0</v>
      </c>
      <c r="D29" s="6">
        <f t="shared" si="0"/>
        <v>1550</v>
      </c>
      <c r="E29" s="6">
        <f>(E27)+(E28)</f>
        <v>5325</v>
      </c>
      <c r="F29" s="6">
        <f>(F27)+(F28)</f>
        <v>616</v>
      </c>
      <c r="G29" s="6">
        <f t="shared" si="1"/>
        <v>4709</v>
      </c>
      <c r="H29" s="6">
        <f>(H27)+(H28)</f>
        <v>8680</v>
      </c>
      <c r="I29" s="6">
        <f>(I27)+(I28)</f>
        <v>17365</v>
      </c>
      <c r="J29" s="6">
        <f t="shared" si="2"/>
        <v>-8685</v>
      </c>
      <c r="K29" s="6">
        <f>(K27)+(K28)</f>
        <v>18004</v>
      </c>
      <c r="L29" s="6">
        <f>(L27)+(L28)</f>
        <v>11464</v>
      </c>
      <c r="M29" s="6">
        <f t="shared" si="3"/>
        <v>6540</v>
      </c>
      <c r="N29" s="6">
        <f>(N27)+(N28)</f>
        <v>57653.42</v>
      </c>
      <c r="O29" s="6">
        <f>(O27)+(O28)</f>
        <v>49891</v>
      </c>
      <c r="P29" s="6">
        <f t="shared" si="4"/>
        <v>7762.4199999999983</v>
      </c>
      <c r="Q29" s="6">
        <f>(Q27)+(Q28)</f>
        <v>2250</v>
      </c>
      <c r="R29" s="6">
        <f>(R27)+(R28)</f>
        <v>664</v>
      </c>
      <c r="S29" s="6">
        <f t="shared" si="5"/>
        <v>1586</v>
      </c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29">
        <f t="shared" si="6"/>
        <v>93462.42</v>
      </c>
      <c r="AM29" s="6">
        <f t="shared" si="7"/>
        <v>80000</v>
      </c>
      <c r="AN29" s="6">
        <f t="shared" si="8"/>
        <v>13462.419999999998</v>
      </c>
      <c r="AP29" s="6">
        <v>80000</v>
      </c>
      <c r="AR29" s="24"/>
    </row>
    <row r="30" spans="1:44" x14ac:dyDescent="0.25">
      <c r="A30" s="3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30"/>
      <c r="AM30" s="18"/>
      <c r="AN30" s="18"/>
      <c r="AP30" s="18"/>
      <c r="AR30" s="24"/>
    </row>
    <row r="31" spans="1:44" x14ac:dyDescent="0.25">
      <c r="A31" s="3" t="s">
        <v>33</v>
      </c>
      <c r="B31" s="4"/>
      <c r="C31" s="5">
        <f>0</f>
        <v>0</v>
      </c>
      <c r="D31" s="5">
        <f t="shared" si="0"/>
        <v>0</v>
      </c>
      <c r="E31" s="4"/>
      <c r="F31" s="5">
        <f>1000</f>
        <v>1000</v>
      </c>
      <c r="G31" s="5">
        <f t="shared" si="1"/>
        <v>-1000</v>
      </c>
      <c r="H31" s="4"/>
      <c r="I31" s="5">
        <f>1000</f>
        <v>1000</v>
      </c>
      <c r="J31" s="5">
        <f t="shared" si="2"/>
        <v>-1000</v>
      </c>
      <c r="K31" s="4"/>
      <c r="L31" s="5">
        <f>0</f>
        <v>0</v>
      </c>
      <c r="M31" s="5">
        <f t="shared" si="3"/>
        <v>0</v>
      </c>
      <c r="N31" s="4"/>
      <c r="O31" s="5">
        <f>0</f>
        <v>0</v>
      </c>
      <c r="P31" s="5">
        <f t="shared" si="4"/>
        <v>0</v>
      </c>
      <c r="Q31" s="4"/>
      <c r="R31" s="5">
        <f>0</f>
        <v>0</v>
      </c>
      <c r="S31" s="5">
        <f t="shared" si="5"/>
        <v>0</v>
      </c>
      <c r="T31" s="4"/>
      <c r="U31" s="5"/>
      <c r="V31" s="5"/>
      <c r="W31" s="4"/>
      <c r="X31" s="5"/>
      <c r="Y31" s="5"/>
      <c r="Z31" s="4"/>
      <c r="AA31" s="5"/>
      <c r="AB31" s="5"/>
      <c r="AC31" s="4"/>
      <c r="AD31" s="5"/>
      <c r="AE31" s="5"/>
      <c r="AF31" s="4"/>
      <c r="AG31" s="5"/>
      <c r="AH31" s="5"/>
      <c r="AI31" s="4"/>
      <c r="AJ31" s="5"/>
      <c r="AK31" s="5"/>
      <c r="AL31" s="28">
        <f t="shared" si="6"/>
        <v>0</v>
      </c>
      <c r="AM31" s="5">
        <f t="shared" si="7"/>
        <v>2000</v>
      </c>
      <c r="AN31" s="5">
        <f t="shared" si="8"/>
        <v>-2000</v>
      </c>
      <c r="AP31" s="5">
        <v>52000</v>
      </c>
      <c r="AR31" s="24" t="s">
        <v>125</v>
      </c>
    </row>
    <row r="32" spans="1:44" x14ac:dyDescent="0.25">
      <c r="A32" s="3"/>
      <c r="B32" s="4"/>
      <c r="C32" s="5"/>
      <c r="D32" s="5"/>
      <c r="E32" s="4"/>
      <c r="F32" s="5"/>
      <c r="G32" s="5"/>
      <c r="H32" s="4"/>
      <c r="I32" s="5"/>
      <c r="J32" s="5"/>
      <c r="K32" s="4"/>
      <c r="L32" s="5"/>
      <c r="M32" s="5"/>
      <c r="N32" s="4"/>
      <c r="O32" s="5"/>
      <c r="P32" s="5"/>
      <c r="Q32" s="4"/>
      <c r="R32" s="5"/>
      <c r="S32" s="5"/>
      <c r="T32" s="4"/>
      <c r="U32" s="5"/>
      <c r="V32" s="5"/>
      <c r="W32" s="4"/>
      <c r="X32" s="5"/>
      <c r="Y32" s="5"/>
      <c r="Z32" s="4"/>
      <c r="AA32" s="5"/>
      <c r="AB32" s="5"/>
      <c r="AC32" s="4"/>
      <c r="AD32" s="5"/>
      <c r="AE32" s="5"/>
      <c r="AF32" s="4"/>
      <c r="AG32" s="5"/>
      <c r="AH32" s="5"/>
      <c r="AI32" s="4"/>
      <c r="AJ32" s="5"/>
      <c r="AK32" s="5"/>
      <c r="AL32" s="28"/>
      <c r="AM32" s="5"/>
      <c r="AN32" s="5"/>
      <c r="AP32" s="5"/>
      <c r="AR32" s="24"/>
    </row>
    <row r="33" spans="1:44" x14ac:dyDescent="0.25">
      <c r="A33" s="3" t="s">
        <v>34</v>
      </c>
      <c r="B33" s="4"/>
      <c r="C33" s="4"/>
      <c r="D33" s="5">
        <f t="shared" si="0"/>
        <v>0</v>
      </c>
      <c r="E33" s="4"/>
      <c r="F33" s="4"/>
      <c r="G33" s="5">
        <f t="shared" si="1"/>
        <v>0</v>
      </c>
      <c r="H33" s="4"/>
      <c r="I33" s="4"/>
      <c r="J33" s="5">
        <f t="shared" si="2"/>
        <v>0</v>
      </c>
      <c r="K33" s="4"/>
      <c r="L33" s="4"/>
      <c r="M33" s="5">
        <f t="shared" si="3"/>
        <v>0</v>
      </c>
      <c r="N33" s="4"/>
      <c r="O33" s="4"/>
      <c r="P33" s="5">
        <f t="shared" si="4"/>
        <v>0</v>
      </c>
      <c r="Q33" s="4"/>
      <c r="R33" s="4"/>
      <c r="S33" s="5">
        <f t="shared" si="5"/>
        <v>0</v>
      </c>
      <c r="T33" s="4"/>
      <c r="U33" s="4"/>
      <c r="V33" s="5"/>
      <c r="W33" s="4"/>
      <c r="X33" s="4"/>
      <c r="Y33" s="5"/>
      <c r="Z33" s="4"/>
      <c r="AA33" s="4"/>
      <c r="AB33" s="5"/>
      <c r="AC33" s="4"/>
      <c r="AD33" s="4"/>
      <c r="AE33" s="5"/>
      <c r="AF33" s="4"/>
      <c r="AG33" s="4"/>
      <c r="AH33" s="5"/>
      <c r="AI33" s="4"/>
      <c r="AJ33" s="4"/>
      <c r="AK33" s="5"/>
      <c r="AL33" s="28">
        <f t="shared" si="6"/>
        <v>0</v>
      </c>
      <c r="AM33" s="5">
        <f t="shared" si="7"/>
        <v>0</v>
      </c>
      <c r="AN33" s="5">
        <f t="shared" si="8"/>
        <v>0</v>
      </c>
      <c r="AP33" s="5">
        <v>0</v>
      </c>
      <c r="AR33" s="24"/>
    </row>
    <row r="34" spans="1:44" x14ac:dyDescent="0.25">
      <c r="A34" s="3" t="s">
        <v>35</v>
      </c>
      <c r="B34" s="5">
        <f>11374</f>
        <v>11374</v>
      </c>
      <c r="C34" s="5">
        <f>11374</f>
        <v>11374</v>
      </c>
      <c r="D34" s="5">
        <f t="shared" si="0"/>
        <v>0</v>
      </c>
      <c r="E34" s="5">
        <f>11374</f>
        <v>11374</v>
      </c>
      <c r="F34" s="5">
        <f>11374</f>
        <v>11374</v>
      </c>
      <c r="G34" s="5">
        <f t="shared" si="1"/>
        <v>0</v>
      </c>
      <c r="H34" s="5">
        <f>11374</f>
        <v>11374</v>
      </c>
      <c r="I34" s="5">
        <f>11374</f>
        <v>11374</v>
      </c>
      <c r="J34" s="5">
        <f t="shared" si="2"/>
        <v>0</v>
      </c>
      <c r="K34" s="5">
        <f>11374</f>
        <v>11374</v>
      </c>
      <c r="L34" s="5">
        <f>11374</f>
        <v>11374</v>
      </c>
      <c r="M34" s="5">
        <f t="shared" si="3"/>
        <v>0</v>
      </c>
      <c r="N34" s="5">
        <f>11374</f>
        <v>11374</v>
      </c>
      <c r="O34" s="5">
        <f>11374</f>
        <v>11374</v>
      </c>
      <c r="P34" s="5">
        <f t="shared" si="4"/>
        <v>0</v>
      </c>
      <c r="Q34" s="5">
        <f>11374</f>
        <v>11374</v>
      </c>
      <c r="R34" s="5">
        <f>11374</f>
        <v>11374</v>
      </c>
      <c r="S34" s="5">
        <f t="shared" si="5"/>
        <v>0</v>
      </c>
      <c r="T34" s="5"/>
      <c r="U34" s="5"/>
      <c r="V34" s="5"/>
      <c r="W34" s="4"/>
      <c r="X34" s="5"/>
      <c r="Y34" s="5"/>
      <c r="Z34" s="4"/>
      <c r="AA34" s="5"/>
      <c r="AB34" s="5"/>
      <c r="AC34" s="4"/>
      <c r="AD34" s="5"/>
      <c r="AE34" s="5"/>
      <c r="AF34" s="4"/>
      <c r="AG34" s="5"/>
      <c r="AH34" s="5"/>
      <c r="AI34" s="4"/>
      <c r="AJ34" s="5"/>
      <c r="AK34" s="5"/>
      <c r="AL34" s="28">
        <f t="shared" si="6"/>
        <v>68244</v>
      </c>
      <c r="AM34" s="5">
        <f t="shared" si="7"/>
        <v>68244</v>
      </c>
      <c r="AN34" s="5">
        <f t="shared" si="8"/>
        <v>0</v>
      </c>
      <c r="AP34" s="5">
        <v>136488</v>
      </c>
      <c r="AR34" s="24"/>
    </row>
    <row r="35" spans="1:44" x14ac:dyDescent="0.25">
      <c r="A35" s="3" t="s">
        <v>36</v>
      </c>
      <c r="B35" s="5">
        <f>234.29</f>
        <v>234.29</v>
      </c>
      <c r="C35" s="5">
        <f>0</f>
        <v>0</v>
      </c>
      <c r="D35" s="5">
        <f t="shared" si="0"/>
        <v>234.29</v>
      </c>
      <c r="E35" s="4"/>
      <c r="F35" s="5">
        <f>225</f>
        <v>225</v>
      </c>
      <c r="G35" s="5">
        <f t="shared" si="1"/>
        <v>-225</v>
      </c>
      <c r="H35" s="4"/>
      <c r="I35" s="5">
        <f>0</f>
        <v>0</v>
      </c>
      <c r="J35" s="5">
        <f t="shared" si="2"/>
        <v>0</v>
      </c>
      <c r="K35" s="4"/>
      <c r="L35" s="5">
        <f>0</f>
        <v>0</v>
      </c>
      <c r="M35" s="5">
        <f t="shared" si="3"/>
        <v>0</v>
      </c>
      <c r="N35" s="5">
        <f>232.3</f>
        <v>232.3</v>
      </c>
      <c r="O35" s="5">
        <f>225</f>
        <v>225</v>
      </c>
      <c r="P35" s="5">
        <f t="shared" si="4"/>
        <v>7.3000000000000114</v>
      </c>
      <c r="Q35" s="4"/>
      <c r="R35" s="5">
        <f>0</f>
        <v>0</v>
      </c>
      <c r="S35" s="5">
        <f t="shared" si="5"/>
        <v>0</v>
      </c>
      <c r="T35" s="4"/>
      <c r="U35" s="5"/>
      <c r="V35" s="5"/>
      <c r="W35" s="4"/>
      <c r="X35" s="5"/>
      <c r="Y35" s="5"/>
      <c r="Z35" s="4"/>
      <c r="AA35" s="5"/>
      <c r="AB35" s="5"/>
      <c r="AC35" s="4"/>
      <c r="AD35" s="5"/>
      <c r="AE35" s="5"/>
      <c r="AF35" s="4"/>
      <c r="AG35" s="5"/>
      <c r="AH35" s="5"/>
      <c r="AI35" s="4"/>
      <c r="AJ35" s="5"/>
      <c r="AK35" s="5"/>
      <c r="AL35" s="28">
        <f t="shared" si="6"/>
        <v>466.59000000000003</v>
      </c>
      <c r="AM35" s="5">
        <f t="shared" si="7"/>
        <v>450</v>
      </c>
      <c r="AN35" s="5">
        <f t="shared" si="8"/>
        <v>16.590000000000032</v>
      </c>
      <c r="AP35" s="5">
        <v>900</v>
      </c>
      <c r="AR35" s="24"/>
    </row>
    <row r="36" spans="1:44" x14ac:dyDescent="0.25">
      <c r="A36" s="3" t="s">
        <v>37</v>
      </c>
      <c r="B36" s="5">
        <f>2.25</f>
        <v>2.25</v>
      </c>
      <c r="C36" s="4"/>
      <c r="D36" s="5">
        <f t="shared" si="0"/>
        <v>2.25</v>
      </c>
      <c r="E36" s="5">
        <f>1.91</f>
        <v>1.91</v>
      </c>
      <c r="F36" s="4"/>
      <c r="G36" s="5">
        <f t="shared" si="1"/>
        <v>1.91</v>
      </c>
      <c r="H36" s="5">
        <f>2.05</f>
        <v>2.0499999999999998</v>
      </c>
      <c r="I36" s="4"/>
      <c r="J36" s="5">
        <f t="shared" si="2"/>
        <v>2.0499999999999998</v>
      </c>
      <c r="K36" s="5">
        <f>2.11</f>
        <v>2.11</v>
      </c>
      <c r="L36" s="4"/>
      <c r="M36" s="5">
        <f t="shared" si="3"/>
        <v>2.11</v>
      </c>
      <c r="N36" s="5">
        <f>2.11</f>
        <v>2.11</v>
      </c>
      <c r="O36" s="4"/>
      <c r="P36" s="5">
        <f t="shared" si="4"/>
        <v>2.11</v>
      </c>
      <c r="Q36" s="5">
        <f>1.98</f>
        <v>1.98</v>
      </c>
      <c r="R36" s="4"/>
      <c r="S36" s="5">
        <f t="shared" si="5"/>
        <v>1.98</v>
      </c>
      <c r="T36" s="4"/>
      <c r="U36" s="4"/>
      <c r="V36" s="5"/>
      <c r="W36" s="4"/>
      <c r="X36" s="4"/>
      <c r="Y36" s="5"/>
      <c r="Z36" s="4"/>
      <c r="AA36" s="4"/>
      <c r="AB36" s="5"/>
      <c r="AC36" s="4"/>
      <c r="AD36" s="4"/>
      <c r="AE36" s="5"/>
      <c r="AF36" s="4"/>
      <c r="AG36" s="4"/>
      <c r="AH36" s="5"/>
      <c r="AI36" s="4"/>
      <c r="AJ36" s="4"/>
      <c r="AK36" s="5"/>
      <c r="AL36" s="5">
        <f t="shared" si="6"/>
        <v>12.41</v>
      </c>
      <c r="AM36" s="5">
        <f t="shared" si="7"/>
        <v>0</v>
      </c>
      <c r="AN36" s="5">
        <f t="shared" si="8"/>
        <v>12.41</v>
      </c>
      <c r="AP36" s="5">
        <v>0</v>
      </c>
      <c r="AR36" s="24"/>
    </row>
    <row r="37" spans="1:44" x14ac:dyDescent="0.25">
      <c r="A37" s="3" t="s">
        <v>38</v>
      </c>
      <c r="B37" s="6">
        <f>(((B33)+(B34))+(B35))+(B36)</f>
        <v>11610.54</v>
      </c>
      <c r="C37" s="6">
        <f>(((C33)+(C34))+(C35))+(C36)</f>
        <v>11374</v>
      </c>
      <c r="D37" s="6">
        <f t="shared" si="0"/>
        <v>236.54000000000087</v>
      </c>
      <c r="E37" s="6">
        <f>(((E33)+(E34))+(E35))+(E36)</f>
        <v>11375.91</v>
      </c>
      <c r="F37" s="6">
        <f>(((F33)+(F34))+(F35))+(F36)</f>
        <v>11599</v>
      </c>
      <c r="G37" s="6">
        <f t="shared" si="1"/>
        <v>-223.09000000000015</v>
      </c>
      <c r="H37" s="6">
        <f>(((H33)+(H34))+(H35))+(H36)</f>
        <v>11376.05</v>
      </c>
      <c r="I37" s="6">
        <f>(((I33)+(I34))+(I35))+(I36)</f>
        <v>11374</v>
      </c>
      <c r="J37" s="6">
        <f t="shared" si="2"/>
        <v>2.0499999999992724</v>
      </c>
      <c r="K37" s="6">
        <f>(((K33)+(K34))+(K35))+(K36)</f>
        <v>11376.11</v>
      </c>
      <c r="L37" s="6">
        <f>(((L33)+(L34))+(L35))+(L36)</f>
        <v>11374</v>
      </c>
      <c r="M37" s="6">
        <f t="shared" si="3"/>
        <v>2.1100000000005821</v>
      </c>
      <c r="N37" s="6">
        <f>(((N33)+(N34))+(N35))+(N36)</f>
        <v>11608.41</v>
      </c>
      <c r="O37" s="6">
        <f>(((O33)+(O34))+(O35))+(O36)</f>
        <v>11599</v>
      </c>
      <c r="P37" s="6">
        <f t="shared" si="4"/>
        <v>9.4099999999998545</v>
      </c>
      <c r="Q37" s="6">
        <f>(((Q33)+(Q34))+(Q35))+(Q36)</f>
        <v>11375.98</v>
      </c>
      <c r="R37" s="6">
        <f>(((R33)+(R34))+(R35))+(R36)</f>
        <v>11374</v>
      </c>
      <c r="S37" s="6">
        <f t="shared" si="5"/>
        <v>1.9799999999995634</v>
      </c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>
        <f t="shared" si="6"/>
        <v>68723</v>
      </c>
      <c r="AM37" s="6">
        <f t="shared" si="7"/>
        <v>68694</v>
      </c>
      <c r="AN37" s="6">
        <f t="shared" si="8"/>
        <v>29</v>
      </c>
      <c r="AP37" s="6">
        <v>137388</v>
      </c>
      <c r="AR37" s="24"/>
    </row>
    <row r="38" spans="1:44" x14ac:dyDescent="0.25">
      <c r="A38" s="3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P38" s="18"/>
      <c r="AR38" s="24"/>
    </row>
    <row r="39" spans="1:44" x14ac:dyDescent="0.25">
      <c r="A39" s="3" t="s">
        <v>39</v>
      </c>
      <c r="B39" s="5">
        <f>7890</f>
        <v>7890</v>
      </c>
      <c r="C39" s="5">
        <f>7890</f>
        <v>7890</v>
      </c>
      <c r="D39" s="5">
        <f t="shared" si="0"/>
        <v>0</v>
      </c>
      <c r="E39" s="5">
        <f>7890</f>
        <v>7890</v>
      </c>
      <c r="F39" s="5">
        <f>7890</f>
        <v>7890</v>
      </c>
      <c r="G39" s="5">
        <f t="shared" si="1"/>
        <v>0</v>
      </c>
      <c r="H39" s="5">
        <f>7890</f>
        <v>7890</v>
      </c>
      <c r="I39" s="5">
        <f>7890</f>
        <v>7890</v>
      </c>
      <c r="J39" s="5">
        <f t="shared" si="2"/>
        <v>0</v>
      </c>
      <c r="K39" s="5">
        <f>7890</f>
        <v>7890</v>
      </c>
      <c r="L39" s="5">
        <f>7890</f>
        <v>7890</v>
      </c>
      <c r="M39" s="5">
        <f t="shared" si="3"/>
        <v>0</v>
      </c>
      <c r="N39" s="5">
        <f>7890</f>
        <v>7890</v>
      </c>
      <c r="O39" s="5">
        <f>7890</f>
        <v>7890</v>
      </c>
      <c r="P39" s="5">
        <f t="shared" si="4"/>
        <v>0</v>
      </c>
      <c r="Q39" s="5">
        <f>7890</f>
        <v>7890</v>
      </c>
      <c r="R39" s="5">
        <f>7890</f>
        <v>7890</v>
      </c>
      <c r="S39" s="5">
        <f t="shared" si="5"/>
        <v>0</v>
      </c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>
        <f t="shared" si="6"/>
        <v>47340</v>
      </c>
      <c r="AM39" s="5">
        <f t="shared" si="7"/>
        <v>47340</v>
      </c>
      <c r="AN39" s="5">
        <f t="shared" si="8"/>
        <v>0</v>
      </c>
      <c r="AP39" s="5">
        <v>94680</v>
      </c>
      <c r="AR39" s="24"/>
    </row>
    <row r="40" spans="1:44" x14ac:dyDescent="0.25">
      <c r="A40" s="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P40" s="5"/>
      <c r="AR40" s="24"/>
    </row>
    <row r="41" spans="1:44" hidden="1" x14ac:dyDescent="0.25">
      <c r="A41" s="17" t="s">
        <v>119</v>
      </c>
      <c r="B41" s="6">
        <f>(((((((((((B12)+(B14))+(B15))+(B16))+(B17))+(B22))+(B24))+(B25))+(B29))+(B31))+(B37))+(B39)</f>
        <v>41413.54</v>
      </c>
      <c r="C41" s="6">
        <f>(((((((((((C12)+(C14))+(C15))+(C16))+(C17))+(C22))+(C24))+(C25))+(C29))+(C31))+(C37))+(C39)</f>
        <v>40261</v>
      </c>
      <c r="D41" s="6">
        <f t="shared" si="0"/>
        <v>1152.5400000000009</v>
      </c>
      <c r="E41" s="6">
        <f>(((((((((((E12)+(E14))+(E15))+(E16))+(E17))+(E22))+(E24))+(E25))+(E29))+(E31))+(E37))+(E39)</f>
        <v>28685.84</v>
      </c>
      <c r="F41" s="6">
        <f>(((((((((((F12)+(F14))+(F15))+(F16))+(F17))+(F22))+(F24))+(F25))+(F29))+(F31))+(F37))+(F39)</f>
        <v>30555</v>
      </c>
      <c r="G41" s="6">
        <f t="shared" si="1"/>
        <v>-1869.1599999999999</v>
      </c>
      <c r="H41" s="6">
        <f>(((((((((((H12)+(H14))+(H15))+(H16))+(H17))+(H22))+(H24))+(H25))+(H29))+(H31))+(H37))+(H39)</f>
        <v>33451.050000000003</v>
      </c>
      <c r="I41" s="6">
        <f>(((((((((((I12)+(I14))+(I15))+(I16))+(I17))+(I22))+(I24))+(I25))+(I29))+(I31))+(I37))+(I39)</f>
        <v>46914</v>
      </c>
      <c r="J41" s="6">
        <f t="shared" si="2"/>
        <v>-13462.949999999997</v>
      </c>
      <c r="K41" s="6">
        <f>(((((((((((K12)+(K14))+(K15))+(K16))+(K17))+(K22))+(K24))+(K25))+(K29))+(K31))+(K37))+(K39)</f>
        <v>58921.11</v>
      </c>
      <c r="L41" s="6">
        <f>(((((((((((L12)+(L14))+(L15))+(L16))+(L17))+(L22))+(L24))+(L25))+(L29))+(L31))+(L37))+(L39)</f>
        <v>45067</v>
      </c>
      <c r="M41" s="6">
        <f t="shared" si="3"/>
        <v>13854.11</v>
      </c>
      <c r="N41" s="6">
        <f>(((((((((((N12)+(N14))+(N15))+(N16))+(N17))+(N22))+(N24))+(N25))+(N29))+(N31))+(N37))+(N39)</f>
        <v>78534.83</v>
      </c>
      <c r="O41" s="6">
        <f>(((((((((((O12)+(O14))+(O15))+(O16))+(O17))+(O22))+(O24))+(O25))+(O29))+(O31))+(O37))+(O39)</f>
        <v>76011</v>
      </c>
      <c r="P41" s="6">
        <f t="shared" si="4"/>
        <v>2523.8300000000017</v>
      </c>
      <c r="Q41" s="6">
        <f>(((((((((((Q12)+(Q14))+(Q15))+(Q16))+(Q17))+(Q22))+(Q24))+(Q25))+(Q29))+(Q31))+(Q37))+(Q39)</f>
        <v>30393.98</v>
      </c>
      <c r="R41" s="6">
        <f>(((((((((((R12)+(R14))+(R15))+(R16))+(R17))+(R22))+(R24))+(R25))+(R29))+(R31))+(R37))+(R39)</f>
        <v>22367</v>
      </c>
      <c r="S41" s="6">
        <f t="shared" si="5"/>
        <v>8026.98</v>
      </c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>
        <f t="shared" si="6"/>
        <v>271400.34999999998</v>
      </c>
      <c r="AM41" s="6">
        <f t="shared" si="7"/>
        <v>261175</v>
      </c>
      <c r="AN41" s="6">
        <f t="shared" si="8"/>
        <v>10225.349999999977</v>
      </c>
      <c r="AP41" s="6">
        <v>489178</v>
      </c>
      <c r="AR41" s="24"/>
    </row>
    <row r="42" spans="1:44" hidden="1" x14ac:dyDescent="0.25">
      <c r="A42" s="3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P42" s="7"/>
      <c r="AR42" s="24"/>
    </row>
    <row r="43" spans="1:44" x14ac:dyDescent="0.25">
      <c r="A43" s="17" t="s">
        <v>119</v>
      </c>
      <c r="B43" s="6">
        <f>(B41)-(0)</f>
        <v>41413.54</v>
      </c>
      <c r="C43" s="6">
        <f>(C41)-(0)</f>
        <v>40261</v>
      </c>
      <c r="D43" s="6">
        <f t="shared" si="0"/>
        <v>1152.5400000000009</v>
      </c>
      <c r="E43" s="6">
        <f>(E41)-(0)</f>
        <v>28685.84</v>
      </c>
      <c r="F43" s="6">
        <f>(F41)-(0)</f>
        <v>30555</v>
      </c>
      <c r="G43" s="6">
        <f t="shared" si="1"/>
        <v>-1869.1599999999999</v>
      </c>
      <c r="H43" s="6">
        <f>(H41)-(0)</f>
        <v>33451.050000000003</v>
      </c>
      <c r="I43" s="6">
        <f>(I41)-(0)</f>
        <v>46914</v>
      </c>
      <c r="J43" s="6">
        <f t="shared" si="2"/>
        <v>-13462.949999999997</v>
      </c>
      <c r="K43" s="6">
        <f>(K41)-(0)</f>
        <v>58921.11</v>
      </c>
      <c r="L43" s="6">
        <f>(L41)-(0)</f>
        <v>45067</v>
      </c>
      <c r="M43" s="6">
        <f t="shared" si="3"/>
        <v>13854.11</v>
      </c>
      <c r="N43" s="6">
        <f>(N41)-(0)</f>
        <v>78534.83</v>
      </c>
      <c r="O43" s="6">
        <f>(O41)-(0)</f>
        <v>76011</v>
      </c>
      <c r="P43" s="6">
        <f t="shared" si="4"/>
        <v>2523.8300000000017</v>
      </c>
      <c r="Q43" s="6">
        <f>(Q41)-(0)</f>
        <v>30393.98</v>
      </c>
      <c r="R43" s="6">
        <f>(R41)-(0)</f>
        <v>22367</v>
      </c>
      <c r="S43" s="6">
        <f t="shared" si="5"/>
        <v>8026.98</v>
      </c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>
        <f>(((((((((((B43)+(E43))+(H43))+(K43))+(N43))+(Q43))+(T43))+(W43))+(Z43))+(AC43))+(AF43))+(AI43)</f>
        <v>271400.34999999998</v>
      </c>
      <c r="AM43" s="6">
        <f t="shared" si="7"/>
        <v>261175</v>
      </c>
      <c r="AN43" s="6">
        <f t="shared" si="8"/>
        <v>10225.349999999977</v>
      </c>
      <c r="AP43" s="6">
        <v>489178</v>
      </c>
      <c r="AR43" s="24"/>
    </row>
    <row r="44" spans="1:44" x14ac:dyDescent="0.25">
      <c r="A44" s="3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P44" s="18"/>
      <c r="AR44" s="24"/>
    </row>
    <row r="45" spans="1:44" x14ac:dyDescent="0.25">
      <c r="A45" s="3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P45" s="4"/>
      <c r="AR45" s="24"/>
    </row>
    <row r="46" spans="1:44" x14ac:dyDescent="0.25">
      <c r="A46" s="3" t="s">
        <v>41</v>
      </c>
      <c r="B46" s="4"/>
      <c r="C46" s="4"/>
      <c r="D46" s="5">
        <f t="shared" ref="D46:D102" si="9">(B46)-(C46)</f>
        <v>0</v>
      </c>
      <c r="E46" s="4"/>
      <c r="F46" s="4"/>
      <c r="G46" s="5">
        <f t="shared" ref="G46:G102" si="10">(E46)-(F46)</f>
        <v>0</v>
      </c>
      <c r="H46" s="4"/>
      <c r="I46" s="4"/>
      <c r="J46" s="5">
        <f t="shared" ref="J46:J102" si="11">(H46)-(I46)</f>
        <v>0</v>
      </c>
      <c r="K46" s="4"/>
      <c r="L46" s="4"/>
      <c r="M46" s="5">
        <f t="shared" ref="M46:M102" si="12">(K46)-(L46)</f>
        <v>0</v>
      </c>
      <c r="N46" s="4"/>
      <c r="O46" s="4"/>
      <c r="P46" s="5">
        <f t="shared" ref="P46:P102" si="13">(N46)-(O46)</f>
        <v>0</v>
      </c>
      <c r="Q46" s="4"/>
      <c r="R46" s="4"/>
      <c r="S46" s="5">
        <f t="shared" ref="S46:S102" si="14">(Q46)-(R46)</f>
        <v>0</v>
      </c>
      <c r="T46" s="4"/>
      <c r="U46" s="4"/>
      <c r="V46" s="5"/>
      <c r="W46" s="4"/>
      <c r="X46" s="4"/>
      <c r="Y46" s="5"/>
      <c r="Z46" s="4"/>
      <c r="AA46" s="4"/>
      <c r="AB46" s="5"/>
      <c r="AC46" s="4"/>
      <c r="AD46" s="4"/>
      <c r="AE46" s="5"/>
      <c r="AF46" s="4"/>
      <c r="AG46" s="4"/>
      <c r="AH46" s="5"/>
      <c r="AI46" s="4"/>
      <c r="AJ46" s="4"/>
      <c r="AK46" s="5"/>
      <c r="AL46" s="5">
        <f t="shared" ref="AL46:AL102" si="15">(((((((((((B46)+(E46))+(H46))+(K46))+(N46))+(Q46))+(T46))+(W46))+(Z46))+(AC46))+(AF46))+(AI46)</f>
        <v>0</v>
      </c>
      <c r="AM46" s="5">
        <f t="shared" ref="AM46:AM102" si="16">(((((((((((C46)+(F46))+(I46))+(L46))+(O46))+(R46))+(U46))+(X46))+(AA46))+(AD46))+(AG46))+(AJ46)</f>
        <v>0</v>
      </c>
      <c r="AN46" s="5">
        <f t="shared" ref="AN46:AN102" si="17">(AL46)-(AM46)</f>
        <v>0</v>
      </c>
      <c r="AP46" s="5">
        <v>0</v>
      </c>
      <c r="AR46" s="24"/>
    </row>
    <row r="47" spans="1:44" x14ac:dyDescent="0.25">
      <c r="A47" s="3" t="s">
        <v>42</v>
      </c>
      <c r="B47" s="4"/>
      <c r="C47" s="5">
        <f>392</f>
        <v>392</v>
      </c>
      <c r="D47" s="5">
        <f t="shared" si="9"/>
        <v>-392</v>
      </c>
      <c r="E47" s="5">
        <f>350</f>
        <v>350</v>
      </c>
      <c r="F47" s="5">
        <f>392</f>
        <v>392</v>
      </c>
      <c r="G47" s="5">
        <f t="shared" si="10"/>
        <v>-42</v>
      </c>
      <c r="H47" s="5">
        <f>550</f>
        <v>550</v>
      </c>
      <c r="I47" s="5">
        <f>392</f>
        <v>392</v>
      </c>
      <c r="J47" s="5">
        <f t="shared" si="11"/>
        <v>158</v>
      </c>
      <c r="K47" s="5">
        <f>350</f>
        <v>350</v>
      </c>
      <c r="L47" s="5">
        <f>392</f>
        <v>392</v>
      </c>
      <c r="M47" s="5">
        <f t="shared" si="12"/>
        <v>-42</v>
      </c>
      <c r="N47" s="5">
        <f>350</f>
        <v>350</v>
      </c>
      <c r="O47" s="5">
        <f>392</f>
        <v>392</v>
      </c>
      <c r="P47" s="5">
        <f t="shared" si="13"/>
        <v>-42</v>
      </c>
      <c r="Q47" s="5">
        <f>350</f>
        <v>350</v>
      </c>
      <c r="R47" s="5">
        <f>392</f>
        <v>392</v>
      </c>
      <c r="S47" s="5">
        <f t="shared" si="14"/>
        <v>-42</v>
      </c>
      <c r="T47" s="4"/>
      <c r="U47" s="5"/>
      <c r="V47" s="5"/>
      <c r="W47" s="4"/>
      <c r="X47" s="5"/>
      <c r="Y47" s="5"/>
      <c r="Z47" s="4"/>
      <c r="AA47" s="5"/>
      <c r="AB47" s="5"/>
      <c r="AC47" s="4"/>
      <c r="AD47" s="5"/>
      <c r="AE47" s="5"/>
      <c r="AF47" s="4"/>
      <c r="AG47" s="5"/>
      <c r="AH47" s="5"/>
      <c r="AI47" s="4"/>
      <c r="AJ47" s="5"/>
      <c r="AK47" s="5"/>
      <c r="AL47" s="5">
        <f t="shared" si="15"/>
        <v>1950</v>
      </c>
      <c r="AM47" s="5">
        <f t="shared" si="16"/>
        <v>2352</v>
      </c>
      <c r="AN47" s="5">
        <f t="shared" si="17"/>
        <v>-402</v>
      </c>
      <c r="AP47" s="5">
        <v>4700</v>
      </c>
      <c r="AR47" s="24"/>
    </row>
    <row r="48" spans="1:44" x14ac:dyDescent="0.25">
      <c r="A48" s="3" t="s">
        <v>43</v>
      </c>
      <c r="B48" s="4"/>
      <c r="C48" s="5">
        <f>158</f>
        <v>158</v>
      </c>
      <c r="D48" s="5">
        <f t="shared" si="9"/>
        <v>-158</v>
      </c>
      <c r="E48" s="4"/>
      <c r="F48" s="5">
        <f>158</f>
        <v>158</v>
      </c>
      <c r="G48" s="5">
        <f t="shared" si="10"/>
        <v>-158</v>
      </c>
      <c r="H48" s="5">
        <f>9.08</f>
        <v>9.08</v>
      </c>
      <c r="I48" s="5">
        <f>158</f>
        <v>158</v>
      </c>
      <c r="J48" s="5">
        <f t="shared" si="11"/>
        <v>-148.91999999999999</v>
      </c>
      <c r="K48" s="4"/>
      <c r="L48" s="5">
        <f>158</f>
        <v>158</v>
      </c>
      <c r="M48" s="5">
        <f t="shared" si="12"/>
        <v>-158</v>
      </c>
      <c r="N48" s="4"/>
      <c r="O48" s="5">
        <f>158</f>
        <v>158</v>
      </c>
      <c r="P48" s="5">
        <f t="shared" si="13"/>
        <v>-158</v>
      </c>
      <c r="Q48" s="4"/>
      <c r="R48" s="5">
        <f>158</f>
        <v>158</v>
      </c>
      <c r="S48" s="5">
        <f t="shared" si="14"/>
        <v>-158</v>
      </c>
      <c r="T48" s="4"/>
      <c r="U48" s="5"/>
      <c r="V48" s="5"/>
      <c r="W48" s="4"/>
      <c r="X48" s="5"/>
      <c r="Y48" s="5"/>
      <c r="Z48" s="4"/>
      <c r="AA48" s="5"/>
      <c r="AB48" s="5"/>
      <c r="AC48" s="4"/>
      <c r="AD48" s="5"/>
      <c r="AE48" s="5"/>
      <c r="AF48" s="4"/>
      <c r="AG48" s="5"/>
      <c r="AH48" s="5"/>
      <c r="AI48" s="4"/>
      <c r="AJ48" s="5"/>
      <c r="AK48" s="5"/>
      <c r="AL48" s="5">
        <f t="shared" si="15"/>
        <v>9.08</v>
      </c>
      <c r="AM48" s="5">
        <f t="shared" si="16"/>
        <v>948</v>
      </c>
      <c r="AN48" s="5">
        <f t="shared" si="17"/>
        <v>-938.92</v>
      </c>
      <c r="AP48" s="5">
        <v>1900</v>
      </c>
      <c r="AR48" s="24"/>
    </row>
    <row r="49" spans="1:44" x14ac:dyDescent="0.25">
      <c r="A49" s="3" t="s">
        <v>44</v>
      </c>
      <c r="B49" s="4"/>
      <c r="C49" s="4"/>
      <c r="D49" s="5">
        <f t="shared" si="9"/>
        <v>0</v>
      </c>
      <c r="E49" s="5">
        <f>292.7</f>
        <v>292.7</v>
      </c>
      <c r="F49" s="4"/>
      <c r="G49" s="5">
        <f t="shared" si="10"/>
        <v>292.7</v>
      </c>
      <c r="H49" s="5">
        <f>307.7</f>
        <v>307.7</v>
      </c>
      <c r="I49" s="4"/>
      <c r="J49" s="5">
        <f t="shared" si="11"/>
        <v>307.7</v>
      </c>
      <c r="K49" s="5">
        <f>304.36</f>
        <v>304.36</v>
      </c>
      <c r="L49" s="4"/>
      <c r="M49" s="5">
        <f t="shared" si="12"/>
        <v>304.36</v>
      </c>
      <c r="N49" s="5">
        <f>47.87</f>
        <v>47.87</v>
      </c>
      <c r="O49" s="4"/>
      <c r="P49" s="5">
        <f t="shared" si="13"/>
        <v>47.87</v>
      </c>
      <c r="Q49" s="4"/>
      <c r="R49" s="4"/>
      <c r="S49" s="5">
        <f t="shared" si="14"/>
        <v>0</v>
      </c>
      <c r="T49" s="4"/>
      <c r="U49" s="4"/>
      <c r="V49" s="5"/>
      <c r="W49" s="4"/>
      <c r="X49" s="4"/>
      <c r="Y49" s="5"/>
      <c r="Z49" s="4"/>
      <c r="AA49" s="4"/>
      <c r="AB49" s="5"/>
      <c r="AC49" s="4"/>
      <c r="AD49" s="4"/>
      <c r="AE49" s="5"/>
      <c r="AF49" s="4"/>
      <c r="AG49" s="4"/>
      <c r="AH49" s="5"/>
      <c r="AI49" s="4"/>
      <c r="AJ49" s="4"/>
      <c r="AK49" s="5"/>
      <c r="AL49" s="5">
        <f t="shared" si="15"/>
        <v>952.63</v>
      </c>
      <c r="AM49" s="5">
        <f t="shared" si="16"/>
        <v>0</v>
      </c>
      <c r="AN49" s="5">
        <f t="shared" si="17"/>
        <v>952.63</v>
      </c>
      <c r="AP49" s="5">
        <v>0</v>
      </c>
      <c r="AR49" s="24"/>
    </row>
    <row r="50" spans="1:44" x14ac:dyDescent="0.25">
      <c r="A50" s="3" t="s">
        <v>45</v>
      </c>
      <c r="B50" s="4"/>
      <c r="C50" s="5">
        <f>23</f>
        <v>23</v>
      </c>
      <c r="D50" s="5">
        <f t="shared" si="9"/>
        <v>-23</v>
      </c>
      <c r="E50" s="4"/>
      <c r="F50" s="5">
        <f>23</f>
        <v>23</v>
      </c>
      <c r="G50" s="5">
        <f t="shared" si="10"/>
        <v>-23</v>
      </c>
      <c r="H50" s="4"/>
      <c r="I50" s="5">
        <f>23</f>
        <v>23</v>
      </c>
      <c r="J50" s="5">
        <f t="shared" si="11"/>
        <v>-23</v>
      </c>
      <c r="K50" s="5">
        <f>23</f>
        <v>23</v>
      </c>
      <c r="L50" s="5">
        <f>23</f>
        <v>23</v>
      </c>
      <c r="M50" s="5">
        <f t="shared" si="12"/>
        <v>0</v>
      </c>
      <c r="N50" s="4"/>
      <c r="O50" s="5">
        <f>23</f>
        <v>23</v>
      </c>
      <c r="P50" s="5">
        <f t="shared" si="13"/>
        <v>-23</v>
      </c>
      <c r="Q50" s="5">
        <f>120</f>
        <v>120</v>
      </c>
      <c r="R50" s="5">
        <f>23</f>
        <v>23</v>
      </c>
      <c r="S50" s="5">
        <f t="shared" si="14"/>
        <v>97</v>
      </c>
      <c r="T50" s="4"/>
      <c r="U50" s="5"/>
      <c r="V50" s="5"/>
      <c r="W50" s="4"/>
      <c r="X50" s="5"/>
      <c r="Y50" s="5"/>
      <c r="Z50" s="4"/>
      <c r="AA50" s="5"/>
      <c r="AB50" s="5"/>
      <c r="AC50" s="4"/>
      <c r="AD50" s="5"/>
      <c r="AE50" s="5"/>
      <c r="AF50" s="4"/>
      <c r="AG50" s="5"/>
      <c r="AH50" s="5"/>
      <c r="AI50" s="4"/>
      <c r="AJ50" s="5"/>
      <c r="AK50" s="5"/>
      <c r="AL50" s="5">
        <f t="shared" si="15"/>
        <v>143</v>
      </c>
      <c r="AM50" s="5">
        <f t="shared" si="16"/>
        <v>138</v>
      </c>
      <c r="AN50" s="5">
        <f t="shared" si="17"/>
        <v>5</v>
      </c>
      <c r="AP50" s="5">
        <v>270</v>
      </c>
      <c r="AR50" s="24"/>
    </row>
    <row r="51" spans="1:44" x14ac:dyDescent="0.25">
      <c r="A51" s="3" t="s">
        <v>46</v>
      </c>
      <c r="B51" s="6">
        <f>((((B46)+(B47))+(B48))+(B49))+(B50)</f>
        <v>0</v>
      </c>
      <c r="C51" s="6">
        <f>((((C46)+(C47))+(C48))+(C49))+(C50)</f>
        <v>573</v>
      </c>
      <c r="D51" s="6">
        <f t="shared" si="9"/>
        <v>-573</v>
      </c>
      <c r="E51" s="6">
        <f>((((E46)+(E47))+(E48))+(E49))+(E50)</f>
        <v>642.70000000000005</v>
      </c>
      <c r="F51" s="6">
        <f>((((F46)+(F47))+(F48))+(F49))+(F50)</f>
        <v>573</v>
      </c>
      <c r="G51" s="6">
        <f t="shared" si="10"/>
        <v>69.700000000000045</v>
      </c>
      <c r="H51" s="6">
        <f>((((H46)+(H47))+(H48))+(H49))+(H50)</f>
        <v>866.78</v>
      </c>
      <c r="I51" s="6">
        <f>((((I46)+(I47))+(I48))+(I49))+(I50)</f>
        <v>573</v>
      </c>
      <c r="J51" s="6">
        <f t="shared" si="11"/>
        <v>293.77999999999997</v>
      </c>
      <c r="K51" s="6">
        <f>((((K46)+(K47))+(K48))+(K49))+(K50)</f>
        <v>677.36</v>
      </c>
      <c r="L51" s="6">
        <f>((((L46)+(L47))+(L48))+(L49))+(L50)</f>
        <v>573</v>
      </c>
      <c r="M51" s="6">
        <f t="shared" si="12"/>
        <v>104.36000000000001</v>
      </c>
      <c r="N51" s="6">
        <f>((((N46)+(N47))+(N48))+(N49))+(N50)</f>
        <v>397.87</v>
      </c>
      <c r="O51" s="6">
        <f>((((O46)+(O47))+(O48))+(O49))+(O50)</f>
        <v>573</v>
      </c>
      <c r="P51" s="6">
        <f t="shared" si="13"/>
        <v>-175.13</v>
      </c>
      <c r="Q51" s="6">
        <f>((((Q46)+(Q47))+(Q48))+(Q49))+(Q50)</f>
        <v>470</v>
      </c>
      <c r="R51" s="6">
        <f>((((R46)+(R47))+(R48))+(R49))+(R50)</f>
        <v>573</v>
      </c>
      <c r="S51" s="6">
        <f t="shared" si="14"/>
        <v>-103</v>
      </c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>
        <f t="shared" si="15"/>
        <v>3054.71</v>
      </c>
      <c r="AM51" s="6">
        <f t="shared" si="16"/>
        <v>3438</v>
      </c>
      <c r="AN51" s="6">
        <f t="shared" si="17"/>
        <v>-383.28999999999996</v>
      </c>
      <c r="AP51" s="6">
        <v>6870</v>
      </c>
      <c r="AR51" s="24"/>
    </row>
    <row r="52" spans="1:44" x14ac:dyDescent="0.25">
      <c r="A52" s="3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P52" s="18"/>
      <c r="AR52" s="24"/>
    </row>
    <row r="53" spans="1:44" x14ac:dyDescent="0.25">
      <c r="A53" s="3" t="s">
        <v>47</v>
      </c>
      <c r="B53" s="4"/>
      <c r="C53" s="4"/>
      <c r="D53" s="5">
        <f t="shared" si="9"/>
        <v>0</v>
      </c>
      <c r="E53" s="4"/>
      <c r="F53" s="4"/>
      <c r="G53" s="5">
        <f t="shared" si="10"/>
        <v>0</v>
      </c>
      <c r="H53" s="4"/>
      <c r="I53" s="4"/>
      <c r="J53" s="5">
        <f t="shared" si="11"/>
        <v>0</v>
      </c>
      <c r="K53" s="4"/>
      <c r="L53" s="4"/>
      <c r="M53" s="5">
        <f t="shared" si="12"/>
        <v>0</v>
      </c>
      <c r="N53" s="4"/>
      <c r="O53" s="4"/>
      <c r="P53" s="5">
        <f t="shared" si="13"/>
        <v>0</v>
      </c>
      <c r="Q53" s="4"/>
      <c r="R53" s="4"/>
      <c r="S53" s="5">
        <f t="shared" si="14"/>
        <v>0</v>
      </c>
      <c r="T53" s="4"/>
      <c r="U53" s="4"/>
      <c r="V53" s="5"/>
      <c r="W53" s="4"/>
      <c r="X53" s="4"/>
      <c r="Y53" s="5"/>
      <c r="Z53" s="4"/>
      <c r="AA53" s="4"/>
      <c r="AB53" s="5"/>
      <c r="AC53" s="4"/>
      <c r="AD53" s="4"/>
      <c r="AE53" s="5"/>
      <c r="AF53" s="4"/>
      <c r="AG53" s="4"/>
      <c r="AH53" s="5"/>
      <c r="AI53" s="4"/>
      <c r="AJ53" s="4"/>
      <c r="AK53" s="5"/>
      <c r="AL53" s="5">
        <f t="shared" si="15"/>
        <v>0</v>
      </c>
      <c r="AM53" s="5">
        <f t="shared" si="16"/>
        <v>0</v>
      </c>
      <c r="AN53" s="5">
        <f t="shared" si="17"/>
        <v>0</v>
      </c>
      <c r="AP53" s="5">
        <v>0</v>
      </c>
      <c r="AR53" s="24"/>
    </row>
    <row r="54" spans="1:44" ht="23.25" x14ac:dyDescent="0.25">
      <c r="A54" s="3" t="s">
        <v>48</v>
      </c>
      <c r="B54" s="4"/>
      <c r="C54" s="4"/>
      <c r="D54" s="5">
        <f t="shared" si="9"/>
        <v>0</v>
      </c>
      <c r="E54" s="4"/>
      <c r="F54" s="4"/>
      <c r="G54" s="5">
        <f t="shared" si="10"/>
        <v>0</v>
      </c>
      <c r="H54" s="5">
        <f>3000</f>
        <v>3000</v>
      </c>
      <c r="I54" s="4"/>
      <c r="J54" s="5">
        <f t="shared" si="11"/>
        <v>3000</v>
      </c>
      <c r="K54" s="5">
        <f>1500</f>
        <v>1500</v>
      </c>
      <c r="L54" s="4"/>
      <c r="M54" s="5">
        <f t="shared" si="12"/>
        <v>1500</v>
      </c>
      <c r="N54" s="5">
        <f>1500</f>
        <v>1500</v>
      </c>
      <c r="O54" s="4"/>
      <c r="P54" s="5">
        <f t="shared" si="13"/>
        <v>1500</v>
      </c>
      <c r="Q54" s="4"/>
      <c r="R54" s="4"/>
      <c r="S54" s="5">
        <f t="shared" si="14"/>
        <v>0</v>
      </c>
      <c r="T54" s="4"/>
      <c r="U54" s="4"/>
      <c r="V54" s="5"/>
      <c r="W54" s="4"/>
      <c r="X54" s="4"/>
      <c r="Y54" s="5"/>
      <c r="Z54" s="4"/>
      <c r="AA54" s="4"/>
      <c r="AB54" s="5"/>
      <c r="AC54" s="4"/>
      <c r="AD54" s="4"/>
      <c r="AE54" s="5"/>
      <c r="AF54" s="4"/>
      <c r="AG54" s="4"/>
      <c r="AH54" s="5"/>
      <c r="AI54" s="4"/>
      <c r="AJ54" s="4"/>
      <c r="AK54" s="5"/>
      <c r="AL54" s="5">
        <f t="shared" si="15"/>
        <v>6000</v>
      </c>
      <c r="AM54" s="5">
        <f t="shared" si="16"/>
        <v>0</v>
      </c>
      <c r="AN54" s="5">
        <f t="shared" si="17"/>
        <v>6000</v>
      </c>
      <c r="AP54" s="5">
        <v>0</v>
      </c>
      <c r="AR54" s="25" t="s">
        <v>127</v>
      </c>
    </row>
    <row r="55" spans="1:44" x14ac:dyDescent="0.25">
      <c r="A55" s="3" t="s">
        <v>49</v>
      </c>
      <c r="B55" s="5">
        <f>49.25</f>
        <v>49.25</v>
      </c>
      <c r="C55" s="5">
        <f>0</f>
        <v>0</v>
      </c>
      <c r="D55" s="5">
        <f t="shared" si="9"/>
        <v>49.25</v>
      </c>
      <c r="E55" s="4"/>
      <c r="F55" s="5">
        <f>785</f>
        <v>785</v>
      </c>
      <c r="G55" s="5">
        <f t="shared" si="10"/>
        <v>-785</v>
      </c>
      <c r="H55" s="5">
        <f>3890.13</f>
        <v>3890.13</v>
      </c>
      <c r="I55" s="5">
        <f>2171</f>
        <v>2171</v>
      </c>
      <c r="J55" s="5">
        <f t="shared" si="11"/>
        <v>1719.13</v>
      </c>
      <c r="K55" s="5">
        <f>1650</f>
        <v>1650</v>
      </c>
      <c r="L55" s="5">
        <f>444</f>
        <v>444</v>
      </c>
      <c r="M55" s="5">
        <f t="shared" si="12"/>
        <v>1206</v>
      </c>
      <c r="N55" s="4"/>
      <c r="O55" s="5">
        <f>0</f>
        <v>0</v>
      </c>
      <c r="P55" s="5">
        <f t="shared" si="13"/>
        <v>0</v>
      </c>
      <c r="Q55" s="4"/>
      <c r="R55" s="5">
        <f>0</f>
        <v>0</v>
      </c>
      <c r="S55" s="5">
        <f t="shared" si="14"/>
        <v>0</v>
      </c>
      <c r="T55" s="4"/>
      <c r="U55" s="5"/>
      <c r="V55" s="5"/>
      <c r="W55" s="4"/>
      <c r="X55" s="5"/>
      <c r="Y55" s="5"/>
      <c r="Z55" s="4"/>
      <c r="AA55" s="5"/>
      <c r="AB55" s="5"/>
      <c r="AC55" s="4"/>
      <c r="AD55" s="5"/>
      <c r="AE55" s="5"/>
      <c r="AF55" s="4"/>
      <c r="AG55" s="5"/>
      <c r="AH55" s="5"/>
      <c r="AI55" s="4"/>
      <c r="AJ55" s="5"/>
      <c r="AK55" s="5"/>
      <c r="AL55" s="5">
        <f t="shared" si="15"/>
        <v>5589.38</v>
      </c>
      <c r="AM55" s="5">
        <f t="shared" si="16"/>
        <v>3400</v>
      </c>
      <c r="AN55" s="5">
        <f t="shared" si="17"/>
        <v>2189.38</v>
      </c>
      <c r="AP55" s="5">
        <v>4400</v>
      </c>
      <c r="AR55" s="24" t="s">
        <v>128</v>
      </c>
    </row>
    <row r="56" spans="1:44" x14ac:dyDescent="0.25">
      <c r="A56" s="3" t="s">
        <v>50</v>
      </c>
      <c r="B56" s="4"/>
      <c r="C56" s="5">
        <f>0</f>
        <v>0</v>
      </c>
      <c r="D56" s="5">
        <f t="shared" si="9"/>
        <v>0</v>
      </c>
      <c r="E56" s="4"/>
      <c r="F56" s="5">
        <f>0</f>
        <v>0</v>
      </c>
      <c r="G56" s="5">
        <f t="shared" si="10"/>
        <v>0</v>
      </c>
      <c r="H56" s="4"/>
      <c r="I56" s="5">
        <f>0</f>
        <v>0</v>
      </c>
      <c r="J56" s="5">
        <f t="shared" si="11"/>
        <v>0</v>
      </c>
      <c r="K56" s="5">
        <f>16.51</f>
        <v>16.510000000000002</v>
      </c>
      <c r="L56" s="5">
        <f>0</f>
        <v>0</v>
      </c>
      <c r="M56" s="5">
        <f t="shared" si="12"/>
        <v>16.510000000000002</v>
      </c>
      <c r="N56" s="4"/>
      <c r="O56" s="5">
        <f>0</f>
        <v>0</v>
      </c>
      <c r="P56" s="5">
        <f t="shared" si="13"/>
        <v>0</v>
      </c>
      <c r="Q56" s="4"/>
      <c r="R56" s="5">
        <f>0</f>
        <v>0</v>
      </c>
      <c r="S56" s="5">
        <f t="shared" si="14"/>
        <v>0</v>
      </c>
      <c r="T56" s="4"/>
      <c r="U56" s="5"/>
      <c r="V56" s="5"/>
      <c r="W56" s="4"/>
      <c r="X56" s="5"/>
      <c r="Y56" s="5"/>
      <c r="Z56" s="4"/>
      <c r="AA56" s="5"/>
      <c r="AB56" s="5"/>
      <c r="AC56" s="4"/>
      <c r="AD56" s="5"/>
      <c r="AE56" s="5"/>
      <c r="AF56" s="4"/>
      <c r="AG56" s="5"/>
      <c r="AH56" s="5"/>
      <c r="AI56" s="4"/>
      <c r="AJ56" s="5"/>
      <c r="AK56" s="5"/>
      <c r="AL56" s="5">
        <f t="shared" si="15"/>
        <v>16.510000000000002</v>
      </c>
      <c r="AM56" s="5">
        <f t="shared" si="16"/>
        <v>0</v>
      </c>
      <c r="AN56" s="5">
        <f t="shared" si="17"/>
        <v>16.510000000000002</v>
      </c>
      <c r="AP56" s="5">
        <v>6400</v>
      </c>
      <c r="AR56" s="24"/>
    </row>
    <row r="57" spans="1:44" x14ac:dyDescent="0.25">
      <c r="A57" s="3" t="s">
        <v>51</v>
      </c>
      <c r="B57" s="6">
        <f>(((B53)+(B54))+(B55))+(B56)</f>
        <v>49.25</v>
      </c>
      <c r="C57" s="6">
        <f>(((C53)+(C54))+(C55))+(C56)</f>
        <v>0</v>
      </c>
      <c r="D57" s="6">
        <f t="shared" si="9"/>
        <v>49.25</v>
      </c>
      <c r="E57" s="6">
        <f>(((E53)+(E54))+(E55))+(E56)</f>
        <v>0</v>
      </c>
      <c r="F57" s="6">
        <f>(((F53)+(F54))+(F55))+(F56)</f>
        <v>785</v>
      </c>
      <c r="G57" s="6">
        <f t="shared" si="10"/>
        <v>-785</v>
      </c>
      <c r="H57" s="6">
        <f>(((H53)+(H54))+(H55))+(H56)</f>
        <v>6890.13</v>
      </c>
      <c r="I57" s="6">
        <f>(((I53)+(I54))+(I55))+(I56)</f>
        <v>2171</v>
      </c>
      <c r="J57" s="6">
        <f t="shared" si="11"/>
        <v>4719.13</v>
      </c>
      <c r="K57" s="6">
        <f>(((K53)+(K54))+(K55))+(K56)</f>
        <v>3166.51</v>
      </c>
      <c r="L57" s="6">
        <f>(((L53)+(L54))+(L55))+(L56)</f>
        <v>444</v>
      </c>
      <c r="M57" s="6">
        <f t="shared" si="12"/>
        <v>2722.51</v>
      </c>
      <c r="N57" s="6">
        <f>(((N53)+(N54))+(N55))+(N56)</f>
        <v>1500</v>
      </c>
      <c r="O57" s="6">
        <f>(((O53)+(O54))+(O55))+(O56)</f>
        <v>0</v>
      </c>
      <c r="P57" s="6">
        <f t="shared" si="13"/>
        <v>1500</v>
      </c>
      <c r="Q57" s="6">
        <f>(((Q53)+(Q54))+(Q55))+(Q56)</f>
        <v>0</v>
      </c>
      <c r="R57" s="6">
        <f>(((R53)+(R54))+(R55))+(R56)</f>
        <v>0</v>
      </c>
      <c r="S57" s="6">
        <f t="shared" si="14"/>
        <v>0</v>
      </c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>
        <f t="shared" si="15"/>
        <v>11605.89</v>
      </c>
      <c r="AM57" s="6">
        <f t="shared" si="16"/>
        <v>3400</v>
      </c>
      <c r="AN57" s="6">
        <f t="shared" si="17"/>
        <v>8205.89</v>
      </c>
      <c r="AP57" s="6">
        <v>10800</v>
      </c>
      <c r="AR57" s="24"/>
    </row>
    <row r="58" spans="1:44" x14ac:dyDescent="0.25">
      <c r="A58" s="3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P58" s="18"/>
      <c r="AR58" s="24"/>
    </row>
    <row r="59" spans="1:44" x14ac:dyDescent="0.25">
      <c r="A59" s="3" t="s">
        <v>52</v>
      </c>
      <c r="B59" s="4"/>
      <c r="C59" s="4"/>
      <c r="D59" s="5">
        <f t="shared" si="9"/>
        <v>0</v>
      </c>
      <c r="E59" s="4"/>
      <c r="F59" s="4"/>
      <c r="G59" s="5">
        <f t="shared" si="10"/>
        <v>0</v>
      </c>
      <c r="H59" s="4"/>
      <c r="I59" s="4"/>
      <c r="J59" s="5">
        <f t="shared" si="11"/>
        <v>0</v>
      </c>
      <c r="K59" s="4"/>
      <c r="L59" s="4"/>
      <c r="M59" s="5">
        <f t="shared" si="12"/>
        <v>0</v>
      </c>
      <c r="N59" s="4"/>
      <c r="O59" s="4"/>
      <c r="P59" s="5">
        <f t="shared" si="13"/>
        <v>0</v>
      </c>
      <c r="Q59" s="4"/>
      <c r="R59" s="4"/>
      <c r="S59" s="5">
        <f t="shared" si="14"/>
        <v>0</v>
      </c>
      <c r="T59" s="4"/>
      <c r="U59" s="4"/>
      <c r="V59" s="5"/>
      <c r="W59" s="4"/>
      <c r="X59" s="4"/>
      <c r="Y59" s="5"/>
      <c r="Z59" s="4"/>
      <c r="AA59" s="4"/>
      <c r="AB59" s="5"/>
      <c r="AC59" s="4"/>
      <c r="AD59" s="4"/>
      <c r="AE59" s="5"/>
      <c r="AF59" s="4"/>
      <c r="AG59" s="4"/>
      <c r="AH59" s="5"/>
      <c r="AI59" s="4"/>
      <c r="AJ59" s="4"/>
      <c r="AK59" s="5"/>
      <c r="AL59" s="5">
        <f t="shared" si="15"/>
        <v>0</v>
      </c>
      <c r="AM59" s="5">
        <f t="shared" si="16"/>
        <v>0</v>
      </c>
      <c r="AN59" s="5">
        <f t="shared" si="17"/>
        <v>0</v>
      </c>
      <c r="AP59" s="5">
        <v>0</v>
      </c>
      <c r="AR59" s="24"/>
    </row>
    <row r="60" spans="1:44" ht="34.5" x14ac:dyDescent="0.25">
      <c r="A60" s="3" t="s">
        <v>53</v>
      </c>
      <c r="B60" s="5">
        <f>600</f>
        <v>600</v>
      </c>
      <c r="C60" s="5">
        <f>0</f>
        <v>0</v>
      </c>
      <c r="D60" s="5">
        <f t="shared" si="9"/>
        <v>600</v>
      </c>
      <c r="E60" s="5">
        <f>6209.37</f>
        <v>6209.37</v>
      </c>
      <c r="F60" s="5">
        <f>0</f>
        <v>0</v>
      </c>
      <c r="G60" s="5">
        <f t="shared" si="10"/>
        <v>6209.37</v>
      </c>
      <c r="H60" s="5">
        <f>20486.25</f>
        <v>20486.25</v>
      </c>
      <c r="I60" s="5">
        <f>5485</f>
        <v>5485</v>
      </c>
      <c r="J60" s="5">
        <f t="shared" si="11"/>
        <v>15001.25</v>
      </c>
      <c r="K60" s="5">
        <f>9522.89</f>
        <v>9522.89</v>
      </c>
      <c r="L60" s="5">
        <f>4210</f>
        <v>4210</v>
      </c>
      <c r="M60" s="5">
        <f t="shared" si="12"/>
        <v>5312.8899999999994</v>
      </c>
      <c r="N60" s="5">
        <f>4354.86</f>
        <v>4354.8599999999997</v>
      </c>
      <c r="O60" s="5">
        <f>13357</f>
        <v>13357</v>
      </c>
      <c r="P60" s="5">
        <f t="shared" si="13"/>
        <v>-9002.14</v>
      </c>
      <c r="Q60" s="4"/>
      <c r="R60" s="5">
        <f>0</f>
        <v>0</v>
      </c>
      <c r="S60" s="5">
        <f t="shared" si="14"/>
        <v>0</v>
      </c>
      <c r="T60" s="4"/>
      <c r="U60" s="5"/>
      <c r="V60" s="5"/>
      <c r="W60" s="4"/>
      <c r="X60" s="5"/>
      <c r="Y60" s="5"/>
      <c r="Z60" s="4"/>
      <c r="AA60" s="5"/>
      <c r="AB60" s="5"/>
      <c r="AC60" s="4"/>
      <c r="AD60" s="5"/>
      <c r="AE60" s="5"/>
      <c r="AF60" s="4"/>
      <c r="AG60" s="5"/>
      <c r="AH60" s="5"/>
      <c r="AI60" s="4"/>
      <c r="AJ60" s="5"/>
      <c r="AK60" s="5"/>
      <c r="AL60" s="5">
        <f t="shared" si="15"/>
        <v>41173.369999999995</v>
      </c>
      <c r="AM60" s="5">
        <f t="shared" si="16"/>
        <v>23052</v>
      </c>
      <c r="AN60" s="5">
        <f t="shared" si="17"/>
        <v>18121.369999999995</v>
      </c>
      <c r="AP60" s="5">
        <v>24000</v>
      </c>
      <c r="AR60" s="25" t="s">
        <v>134</v>
      </c>
    </row>
    <row r="61" spans="1:44" x14ac:dyDescent="0.25">
      <c r="A61" s="3" t="s">
        <v>54</v>
      </c>
      <c r="B61" s="6">
        <f>(B59)+(B60)</f>
        <v>600</v>
      </c>
      <c r="C61" s="6">
        <f>(C59)+(C60)</f>
        <v>0</v>
      </c>
      <c r="D61" s="6">
        <f t="shared" si="9"/>
        <v>600</v>
      </c>
      <c r="E61" s="6">
        <f>(E59)+(E60)</f>
        <v>6209.37</v>
      </c>
      <c r="F61" s="6">
        <f>(F59)+(F60)</f>
        <v>0</v>
      </c>
      <c r="G61" s="6">
        <f t="shared" si="10"/>
        <v>6209.37</v>
      </c>
      <c r="H61" s="6">
        <f>(H59)+(H60)</f>
        <v>20486.25</v>
      </c>
      <c r="I61" s="6">
        <f>(I59)+(I60)</f>
        <v>5485</v>
      </c>
      <c r="J61" s="6">
        <f t="shared" si="11"/>
        <v>15001.25</v>
      </c>
      <c r="K61" s="6">
        <f>(K59)+(K60)</f>
        <v>9522.89</v>
      </c>
      <c r="L61" s="6">
        <f>(L59)+(L60)</f>
        <v>4210</v>
      </c>
      <c r="M61" s="6">
        <f t="shared" si="12"/>
        <v>5312.8899999999994</v>
      </c>
      <c r="N61" s="6">
        <f>(N59)+(N60)</f>
        <v>4354.8599999999997</v>
      </c>
      <c r="O61" s="6">
        <f>(O59)+(O60)</f>
        <v>13357</v>
      </c>
      <c r="P61" s="6">
        <f t="shared" si="13"/>
        <v>-9002.14</v>
      </c>
      <c r="Q61" s="6">
        <f>(Q59)+(Q60)</f>
        <v>0</v>
      </c>
      <c r="R61" s="6">
        <f>(R59)+(R60)</f>
        <v>0</v>
      </c>
      <c r="S61" s="6">
        <f t="shared" si="14"/>
        <v>0</v>
      </c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>
        <f t="shared" si="15"/>
        <v>41173.369999999995</v>
      </c>
      <c r="AM61" s="6">
        <f t="shared" si="16"/>
        <v>23052</v>
      </c>
      <c r="AN61" s="6">
        <f t="shared" si="17"/>
        <v>18121.369999999995</v>
      </c>
      <c r="AP61" s="6">
        <v>24000</v>
      </c>
      <c r="AR61" s="24"/>
    </row>
    <row r="62" spans="1:44" x14ac:dyDescent="0.25">
      <c r="A62" s="3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P62" s="18"/>
      <c r="AR62" s="24"/>
    </row>
    <row r="63" spans="1:44" x14ac:dyDescent="0.25">
      <c r="A63" s="3" t="s">
        <v>55</v>
      </c>
      <c r="B63" s="4"/>
      <c r="C63" s="5">
        <f>17</f>
        <v>17</v>
      </c>
      <c r="D63" s="5">
        <f t="shared" si="9"/>
        <v>-17</v>
      </c>
      <c r="E63" s="4"/>
      <c r="F63" s="5">
        <f>17</f>
        <v>17</v>
      </c>
      <c r="G63" s="5">
        <f t="shared" si="10"/>
        <v>-17</v>
      </c>
      <c r="H63" s="4"/>
      <c r="I63" s="5">
        <f>17</f>
        <v>17</v>
      </c>
      <c r="J63" s="5">
        <f t="shared" si="11"/>
        <v>-17</v>
      </c>
      <c r="K63" s="4"/>
      <c r="L63" s="5">
        <f>17</f>
        <v>17</v>
      </c>
      <c r="M63" s="5">
        <f t="shared" si="12"/>
        <v>-17</v>
      </c>
      <c r="N63" s="4"/>
      <c r="O63" s="5">
        <f>17</f>
        <v>17</v>
      </c>
      <c r="P63" s="5">
        <f t="shared" si="13"/>
        <v>-17</v>
      </c>
      <c r="Q63" s="4"/>
      <c r="R63" s="5">
        <f>17</f>
        <v>17</v>
      </c>
      <c r="S63" s="5">
        <f t="shared" si="14"/>
        <v>-17</v>
      </c>
      <c r="T63" s="4"/>
      <c r="U63" s="5"/>
      <c r="V63" s="5"/>
      <c r="W63" s="4"/>
      <c r="X63" s="5"/>
      <c r="Y63" s="5"/>
      <c r="Z63" s="4"/>
      <c r="AA63" s="5"/>
      <c r="AB63" s="5"/>
      <c r="AC63" s="4"/>
      <c r="AD63" s="5"/>
      <c r="AE63" s="5"/>
      <c r="AF63" s="4"/>
      <c r="AG63" s="5"/>
      <c r="AH63" s="5"/>
      <c r="AI63" s="4"/>
      <c r="AJ63" s="5"/>
      <c r="AK63" s="5"/>
      <c r="AL63" s="5">
        <f t="shared" si="15"/>
        <v>0</v>
      </c>
      <c r="AM63" s="5">
        <f t="shared" si="16"/>
        <v>102</v>
      </c>
      <c r="AN63" s="5">
        <f t="shared" si="17"/>
        <v>-102</v>
      </c>
      <c r="AP63" s="5">
        <v>200</v>
      </c>
      <c r="AR63" s="24"/>
    </row>
    <row r="64" spans="1:44" x14ac:dyDescent="0.25">
      <c r="A64" s="3" t="s">
        <v>56</v>
      </c>
      <c r="B64" s="4"/>
      <c r="C64" s="5">
        <f>25</f>
        <v>25</v>
      </c>
      <c r="D64" s="5">
        <f t="shared" si="9"/>
        <v>-25</v>
      </c>
      <c r="E64" s="4"/>
      <c r="F64" s="5">
        <f>25</f>
        <v>25</v>
      </c>
      <c r="G64" s="5">
        <f t="shared" si="10"/>
        <v>-25</v>
      </c>
      <c r="H64" s="5">
        <f>29.64</f>
        <v>29.64</v>
      </c>
      <c r="I64" s="5">
        <f>25</f>
        <v>25</v>
      </c>
      <c r="J64" s="5">
        <f t="shared" si="11"/>
        <v>4.6400000000000006</v>
      </c>
      <c r="K64" s="4"/>
      <c r="L64" s="5">
        <f>25</f>
        <v>25</v>
      </c>
      <c r="M64" s="5">
        <f t="shared" si="12"/>
        <v>-25</v>
      </c>
      <c r="N64" s="4"/>
      <c r="O64" s="5">
        <f>25</f>
        <v>25</v>
      </c>
      <c r="P64" s="5">
        <f t="shared" si="13"/>
        <v>-25</v>
      </c>
      <c r="Q64" s="4"/>
      <c r="R64" s="5">
        <f>25</f>
        <v>25</v>
      </c>
      <c r="S64" s="5">
        <f t="shared" si="14"/>
        <v>-25</v>
      </c>
      <c r="T64" s="4"/>
      <c r="U64" s="5"/>
      <c r="V64" s="5"/>
      <c r="W64" s="4"/>
      <c r="X64" s="5"/>
      <c r="Y64" s="5"/>
      <c r="Z64" s="4"/>
      <c r="AA64" s="5"/>
      <c r="AB64" s="5"/>
      <c r="AC64" s="4"/>
      <c r="AD64" s="5"/>
      <c r="AE64" s="5"/>
      <c r="AF64" s="4"/>
      <c r="AG64" s="5"/>
      <c r="AH64" s="5"/>
      <c r="AI64" s="4"/>
      <c r="AJ64" s="5"/>
      <c r="AK64" s="5"/>
      <c r="AL64" s="5">
        <f t="shared" si="15"/>
        <v>29.64</v>
      </c>
      <c r="AM64" s="5">
        <f t="shared" si="16"/>
        <v>150</v>
      </c>
      <c r="AN64" s="5">
        <f t="shared" si="17"/>
        <v>-120.36</v>
      </c>
      <c r="AP64" s="5">
        <v>300</v>
      </c>
      <c r="AR64" s="24"/>
    </row>
    <row r="65" spans="1:44" x14ac:dyDescent="0.25">
      <c r="A65" s="3"/>
      <c r="B65" s="4"/>
      <c r="C65" s="5"/>
      <c r="D65" s="5"/>
      <c r="E65" s="4"/>
      <c r="F65" s="5"/>
      <c r="G65" s="5"/>
      <c r="H65" s="5"/>
      <c r="I65" s="5"/>
      <c r="J65" s="5"/>
      <c r="K65" s="4"/>
      <c r="L65" s="5"/>
      <c r="M65" s="5"/>
      <c r="N65" s="4"/>
      <c r="O65" s="5"/>
      <c r="P65" s="5"/>
      <c r="Q65" s="4"/>
      <c r="R65" s="5"/>
      <c r="S65" s="5"/>
      <c r="T65" s="4"/>
      <c r="U65" s="5"/>
      <c r="V65" s="5"/>
      <c r="W65" s="4"/>
      <c r="X65" s="5"/>
      <c r="Y65" s="5"/>
      <c r="Z65" s="4"/>
      <c r="AA65" s="5"/>
      <c r="AB65" s="5"/>
      <c r="AC65" s="4"/>
      <c r="AD65" s="5"/>
      <c r="AE65" s="5"/>
      <c r="AF65" s="4"/>
      <c r="AG65" s="5"/>
      <c r="AH65" s="5"/>
      <c r="AI65" s="4"/>
      <c r="AJ65" s="5"/>
      <c r="AK65" s="5"/>
      <c r="AL65" s="5"/>
      <c r="AM65" s="5"/>
      <c r="AN65" s="5"/>
      <c r="AP65" s="5"/>
      <c r="AR65" s="24"/>
    </row>
    <row r="66" spans="1:44" x14ac:dyDescent="0.25">
      <c r="A66" s="3" t="s">
        <v>57</v>
      </c>
      <c r="B66" s="4"/>
      <c r="C66" s="4"/>
      <c r="D66" s="5">
        <f t="shared" si="9"/>
        <v>0</v>
      </c>
      <c r="E66" s="4"/>
      <c r="F66" s="4"/>
      <c r="G66" s="5">
        <f t="shared" si="10"/>
        <v>0</v>
      </c>
      <c r="H66" s="4"/>
      <c r="I66" s="4"/>
      <c r="J66" s="5">
        <f t="shared" si="11"/>
        <v>0</v>
      </c>
      <c r="K66" s="4"/>
      <c r="L66" s="4"/>
      <c r="M66" s="5">
        <f t="shared" si="12"/>
        <v>0</v>
      </c>
      <c r="N66" s="4"/>
      <c r="O66" s="4"/>
      <c r="P66" s="5">
        <f t="shared" si="13"/>
        <v>0</v>
      </c>
      <c r="Q66" s="4"/>
      <c r="R66" s="4"/>
      <c r="S66" s="5">
        <f t="shared" si="14"/>
        <v>0</v>
      </c>
      <c r="T66" s="4"/>
      <c r="U66" s="4"/>
      <c r="V66" s="5"/>
      <c r="W66" s="4"/>
      <c r="X66" s="4"/>
      <c r="Y66" s="5"/>
      <c r="Z66" s="4"/>
      <c r="AA66" s="4"/>
      <c r="AB66" s="5"/>
      <c r="AC66" s="4"/>
      <c r="AD66" s="4"/>
      <c r="AE66" s="5"/>
      <c r="AF66" s="4"/>
      <c r="AG66" s="4"/>
      <c r="AH66" s="5"/>
      <c r="AI66" s="4"/>
      <c r="AJ66" s="4"/>
      <c r="AK66" s="5"/>
      <c r="AL66" s="5">
        <f t="shared" si="15"/>
        <v>0</v>
      </c>
      <c r="AM66" s="5">
        <f t="shared" si="16"/>
        <v>0</v>
      </c>
      <c r="AN66" s="5">
        <f t="shared" si="17"/>
        <v>0</v>
      </c>
      <c r="AP66" s="5">
        <v>0</v>
      </c>
      <c r="AR66" s="24"/>
    </row>
    <row r="67" spans="1:44" x14ac:dyDescent="0.25">
      <c r="A67" s="3" t="s">
        <v>58</v>
      </c>
      <c r="B67" s="5">
        <f>114</f>
        <v>114</v>
      </c>
      <c r="C67" s="5">
        <f>42</f>
        <v>42</v>
      </c>
      <c r="D67" s="5">
        <f t="shared" si="9"/>
        <v>72</v>
      </c>
      <c r="E67" s="4"/>
      <c r="F67" s="5">
        <f>42</f>
        <v>42</v>
      </c>
      <c r="G67" s="5">
        <f t="shared" si="10"/>
        <v>-42</v>
      </c>
      <c r="H67" s="5">
        <f>562.5</f>
        <v>562.5</v>
      </c>
      <c r="I67" s="5">
        <f>42</f>
        <v>42</v>
      </c>
      <c r="J67" s="5">
        <f t="shared" si="11"/>
        <v>520.5</v>
      </c>
      <c r="K67" s="5">
        <f>450</f>
        <v>450</v>
      </c>
      <c r="L67" s="5">
        <f>42</f>
        <v>42</v>
      </c>
      <c r="M67" s="5">
        <f t="shared" si="12"/>
        <v>408</v>
      </c>
      <c r="N67" s="4"/>
      <c r="O67" s="5">
        <f>42</f>
        <v>42</v>
      </c>
      <c r="P67" s="5">
        <f t="shared" si="13"/>
        <v>-42</v>
      </c>
      <c r="Q67" s="5">
        <f>259</f>
        <v>259</v>
      </c>
      <c r="R67" s="5">
        <f>42</f>
        <v>42</v>
      </c>
      <c r="S67" s="5">
        <f t="shared" si="14"/>
        <v>217</v>
      </c>
      <c r="T67" s="4"/>
      <c r="U67" s="5"/>
      <c r="V67" s="5"/>
      <c r="W67" s="4"/>
      <c r="X67" s="5"/>
      <c r="Y67" s="5"/>
      <c r="Z67" s="4"/>
      <c r="AA67" s="5"/>
      <c r="AB67" s="5"/>
      <c r="AC67" s="4"/>
      <c r="AD67" s="5"/>
      <c r="AE67" s="5"/>
      <c r="AF67" s="4"/>
      <c r="AG67" s="5"/>
      <c r="AH67" s="5"/>
      <c r="AI67" s="4"/>
      <c r="AJ67" s="5"/>
      <c r="AK67" s="5"/>
      <c r="AL67" s="5">
        <f t="shared" si="15"/>
        <v>1385.5</v>
      </c>
      <c r="AM67" s="5">
        <f t="shared" si="16"/>
        <v>252</v>
      </c>
      <c r="AN67" s="5">
        <f t="shared" si="17"/>
        <v>1133.5</v>
      </c>
      <c r="AP67" s="5">
        <v>500</v>
      </c>
      <c r="AR67" s="25" t="s">
        <v>137</v>
      </c>
    </row>
    <row r="68" spans="1:44" x14ac:dyDescent="0.25">
      <c r="A68" s="3" t="s">
        <v>59</v>
      </c>
      <c r="B68" s="5">
        <f>1233.39</f>
        <v>1233.3900000000001</v>
      </c>
      <c r="C68" s="5">
        <f>500</f>
        <v>500</v>
      </c>
      <c r="D68" s="5">
        <f t="shared" si="9"/>
        <v>733.3900000000001</v>
      </c>
      <c r="E68" s="5">
        <f>212.78</f>
        <v>212.78</v>
      </c>
      <c r="F68" s="5">
        <f>500</f>
        <v>500</v>
      </c>
      <c r="G68" s="5">
        <f t="shared" si="10"/>
        <v>-287.22000000000003</v>
      </c>
      <c r="H68" s="5">
        <f>254.05</f>
        <v>254.05</v>
      </c>
      <c r="I68" s="5">
        <f>500</f>
        <v>500</v>
      </c>
      <c r="J68" s="5">
        <f t="shared" si="11"/>
        <v>-245.95</v>
      </c>
      <c r="K68" s="5">
        <f>374.13</f>
        <v>374.13</v>
      </c>
      <c r="L68" s="5">
        <f>500</f>
        <v>500</v>
      </c>
      <c r="M68" s="5">
        <f t="shared" si="12"/>
        <v>-125.87</v>
      </c>
      <c r="N68" s="5">
        <f>357.56</f>
        <v>357.56</v>
      </c>
      <c r="O68" s="5">
        <f>500</f>
        <v>500</v>
      </c>
      <c r="P68" s="5">
        <f t="shared" si="13"/>
        <v>-142.44</v>
      </c>
      <c r="Q68" s="5">
        <f>252.73</f>
        <v>252.73</v>
      </c>
      <c r="R68" s="5">
        <f>500</f>
        <v>500</v>
      </c>
      <c r="S68" s="5">
        <f t="shared" si="14"/>
        <v>-247.27</v>
      </c>
      <c r="T68" s="4"/>
      <c r="U68" s="5"/>
      <c r="V68" s="5"/>
      <c r="W68" s="4"/>
      <c r="X68" s="5"/>
      <c r="Y68" s="5"/>
      <c r="Z68" s="4"/>
      <c r="AA68" s="5"/>
      <c r="AB68" s="5"/>
      <c r="AC68" s="4"/>
      <c r="AD68" s="5"/>
      <c r="AE68" s="5"/>
      <c r="AF68" s="4"/>
      <c r="AG68" s="5"/>
      <c r="AH68" s="5"/>
      <c r="AI68" s="4"/>
      <c r="AJ68" s="5"/>
      <c r="AK68" s="5"/>
      <c r="AL68" s="5">
        <f t="shared" si="15"/>
        <v>2684.64</v>
      </c>
      <c r="AM68" s="5">
        <f t="shared" si="16"/>
        <v>3000</v>
      </c>
      <c r="AN68" s="5">
        <f t="shared" si="17"/>
        <v>-315.36000000000013</v>
      </c>
      <c r="AP68" s="5">
        <v>6000</v>
      </c>
      <c r="AR68" s="24"/>
    </row>
    <row r="69" spans="1:44" ht="23.25" x14ac:dyDescent="0.25">
      <c r="A69" s="3" t="s">
        <v>60</v>
      </c>
      <c r="B69" s="4"/>
      <c r="C69" s="5">
        <f>0</f>
        <v>0</v>
      </c>
      <c r="D69" s="5">
        <f t="shared" si="9"/>
        <v>0</v>
      </c>
      <c r="E69" s="4"/>
      <c r="F69" s="5">
        <f>2840</f>
        <v>2840</v>
      </c>
      <c r="G69" s="5">
        <f t="shared" si="10"/>
        <v>-2840</v>
      </c>
      <c r="H69" s="4"/>
      <c r="I69" s="5">
        <f>0</f>
        <v>0</v>
      </c>
      <c r="J69" s="5">
        <f t="shared" si="11"/>
        <v>0</v>
      </c>
      <c r="K69" s="4"/>
      <c r="L69" s="5">
        <f>0</f>
        <v>0</v>
      </c>
      <c r="M69" s="5">
        <f t="shared" si="12"/>
        <v>0</v>
      </c>
      <c r="N69" s="4"/>
      <c r="O69" s="5">
        <f>0</f>
        <v>0</v>
      </c>
      <c r="P69" s="5">
        <f t="shared" si="13"/>
        <v>0</v>
      </c>
      <c r="Q69" s="4"/>
      <c r="R69" s="5">
        <f>329</f>
        <v>329</v>
      </c>
      <c r="S69" s="5">
        <f t="shared" si="14"/>
        <v>-329</v>
      </c>
      <c r="T69" s="4"/>
      <c r="U69" s="5"/>
      <c r="V69" s="5"/>
      <c r="W69" s="4"/>
      <c r="X69" s="5"/>
      <c r="Y69" s="5"/>
      <c r="Z69" s="4"/>
      <c r="AA69" s="5"/>
      <c r="AB69" s="5"/>
      <c r="AC69" s="4"/>
      <c r="AD69" s="5"/>
      <c r="AE69" s="5"/>
      <c r="AF69" s="4"/>
      <c r="AG69" s="5"/>
      <c r="AH69" s="5"/>
      <c r="AI69" s="4"/>
      <c r="AJ69" s="5"/>
      <c r="AK69" s="5"/>
      <c r="AL69" s="5">
        <f t="shared" si="15"/>
        <v>0</v>
      </c>
      <c r="AM69" s="5">
        <f t="shared" si="16"/>
        <v>3169</v>
      </c>
      <c r="AN69" s="5">
        <f t="shared" si="17"/>
        <v>-3169</v>
      </c>
      <c r="AP69" s="5">
        <v>6000</v>
      </c>
      <c r="AR69" s="25" t="s">
        <v>135</v>
      </c>
    </row>
    <row r="70" spans="1:44" ht="23.25" x14ac:dyDescent="0.25">
      <c r="A70" s="3" t="s">
        <v>61</v>
      </c>
      <c r="B70" s="5">
        <f>2000</f>
        <v>2000</v>
      </c>
      <c r="C70" s="5">
        <f>1500</f>
        <v>1500</v>
      </c>
      <c r="D70" s="5">
        <f t="shared" si="9"/>
        <v>500</v>
      </c>
      <c r="E70" s="5">
        <f>1500</f>
        <v>1500</v>
      </c>
      <c r="F70" s="5">
        <f>2000</f>
        <v>2000</v>
      </c>
      <c r="G70" s="5">
        <f t="shared" si="10"/>
        <v>-500</v>
      </c>
      <c r="H70" s="5">
        <f>2500</f>
        <v>2500</v>
      </c>
      <c r="I70" s="5">
        <f>2500</f>
        <v>2500</v>
      </c>
      <c r="J70" s="5">
        <f t="shared" si="11"/>
        <v>0</v>
      </c>
      <c r="K70" s="5">
        <f>2000</f>
        <v>2000</v>
      </c>
      <c r="L70" s="5">
        <f>2000</f>
        <v>2000</v>
      </c>
      <c r="M70" s="5">
        <f t="shared" si="12"/>
        <v>0</v>
      </c>
      <c r="N70" s="5">
        <f>2000</f>
        <v>2000</v>
      </c>
      <c r="O70" s="5">
        <f>2000</f>
        <v>2000</v>
      </c>
      <c r="P70" s="5">
        <f t="shared" si="13"/>
        <v>0</v>
      </c>
      <c r="Q70" s="5">
        <f>2500</f>
        <v>2500</v>
      </c>
      <c r="R70" s="5">
        <f>2500</f>
        <v>2500</v>
      </c>
      <c r="S70" s="5">
        <f t="shared" si="14"/>
        <v>0</v>
      </c>
      <c r="T70" s="4"/>
      <c r="U70" s="5"/>
      <c r="V70" s="5"/>
      <c r="W70" s="4"/>
      <c r="X70" s="5"/>
      <c r="Y70" s="5"/>
      <c r="Z70" s="4"/>
      <c r="AA70" s="5"/>
      <c r="AB70" s="5"/>
      <c r="AC70" s="4"/>
      <c r="AD70" s="5"/>
      <c r="AE70" s="5"/>
      <c r="AF70" s="4"/>
      <c r="AG70" s="5"/>
      <c r="AH70" s="5"/>
      <c r="AI70" s="4"/>
      <c r="AJ70" s="5"/>
      <c r="AK70" s="5"/>
      <c r="AL70" s="5">
        <f t="shared" si="15"/>
        <v>12500</v>
      </c>
      <c r="AM70" s="5">
        <f t="shared" si="16"/>
        <v>12500</v>
      </c>
      <c r="AN70" s="5">
        <f t="shared" si="17"/>
        <v>0</v>
      </c>
      <c r="AP70" s="5">
        <v>12500</v>
      </c>
      <c r="AR70" s="25" t="s">
        <v>136</v>
      </c>
    </row>
    <row r="71" spans="1:44" x14ac:dyDescent="0.25">
      <c r="A71" s="3" t="s">
        <v>62</v>
      </c>
      <c r="B71" s="6">
        <f>((((B66)+(B67))+(B68))+(B69))+(B70)</f>
        <v>3347.3900000000003</v>
      </c>
      <c r="C71" s="6">
        <f>((((C66)+(C67))+(C68))+(C69))+(C70)</f>
        <v>2042</v>
      </c>
      <c r="D71" s="6">
        <f t="shared" si="9"/>
        <v>1305.3900000000003</v>
      </c>
      <c r="E71" s="6">
        <f>((((E66)+(E67))+(E68))+(E69))+(E70)</f>
        <v>1712.78</v>
      </c>
      <c r="F71" s="6">
        <f>((((F66)+(F67))+(F68))+(F69))+(F70)</f>
        <v>5382</v>
      </c>
      <c r="G71" s="6">
        <f t="shared" si="10"/>
        <v>-3669.2200000000003</v>
      </c>
      <c r="H71" s="6">
        <f>((((H66)+(H67))+(H68))+(H69))+(H70)</f>
        <v>3316.55</v>
      </c>
      <c r="I71" s="6">
        <f>((((I66)+(I67))+(I68))+(I69))+(I70)</f>
        <v>3042</v>
      </c>
      <c r="J71" s="6">
        <f t="shared" si="11"/>
        <v>274.55000000000018</v>
      </c>
      <c r="K71" s="6">
        <f>((((K66)+(K67))+(K68))+(K69))+(K70)</f>
        <v>2824.13</v>
      </c>
      <c r="L71" s="6">
        <f>((((L66)+(L67))+(L68))+(L69))+(L70)</f>
        <v>2542</v>
      </c>
      <c r="M71" s="6">
        <f t="shared" si="12"/>
        <v>282.13000000000011</v>
      </c>
      <c r="N71" s="6">
        <f>((((N66)+(N67))+(N68))+(N69))+(N70)</f>
        <v>2357.56</v>
      </c>
      <c r="O71" s="6">
        <f>((((O66)+(O67))+(O68))+(O69))+(O70)</f>
        <v>2542</v>
      </c>
      <c r="P71" s="6">
        <f t="shared" si="13"/>
        <v>-184.44000000000005</v>
      </c>
      <c r="Q71" s="6">
        <f>((((Q66)+(Q67))+(Q68))+(Q69))+(Q70)</f>
        <v>3011.73</v>
      </c>
      <c r="R71" s="6">
        <f>((((R66)+(R67))+(R68))+(R69))+(R70)</f>
        <v>3371</v>
      </c>
      <c r="S71" s="6">
        <f t="shared" si="14"/>
        <v>-359.27</v>
      </c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>
        <f t="shared" si="15"/>
        <v>16570.140000000003</v>
      </c>
      <c r="AM71" s="6">
        <f t="shared" si="16"/>
        <v>18921</v>
      </c>
      <c r="AN71" s="6">
        <f t="shared" si="17"/>
        <v>-2350.8599999999969</v>
      </c>
      <c r="AP71" s="6">
        <v>25000</v>
      </c>
      <c r="AR71" s="24"/>
    </row>
    <row r="72" spans="1:44" x14ac:dyDescent="0.25">
      <c r="A72" s="3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P72" s="18"/>
      <c r="AR72" s="24"/>
    </row>
    <row r="73" spans="1:44" x14ac:dyDescent="0.25">
      <c r="A73" s="3" t="s">
        <v>63</v>
      </c>
      <c r="B73" s="4"/>
      <c r="C73" s="4"/>
      <c r="D73" s="5">
        <f t="shared" si="9"/>
        <v>0</v>
      </c>
      <c r="E73" s="4"/>
      <c r="F73" s="4"/>
      <c r="G73" s="5">
        <f t="shared" si="10"/>
        <v>0</v>
      </c>
      <c r="H73" s="4"/>
      <c r="I73" s="4"/>
      <c r="J73" s="5">
        <f t="shared" si="11"/>
        <v>0</v>
      </c>
      <c r="K73" s="4"/>
      <c r="L73" s="4"/>
      <c r="M73" s="5">
        <f t="shared" si="12"/>
        <v>0</v>
      </c>
      <c r="N73" s="4"/>
      <c r="O73" s="4"/>
      <c r="P73" s="5">
        <f t="shared" si="13"/>
        <v>0</v>
      </c>
      <c r="Q73" s="4"/>
      <c r="R73" s="4"/>
      <c r="S73" s="5">
        <f t="shared" si="14"/>
        <v>0</v>
      </c>
      <c r="T73" s="4"/>
      <c r="U73" s="4"/>
      <c r="V73" s="5"/>
      <c r="W73" s="4"/>
      <c r="X73" s="4"/>
      <c r="Y73" s="5"/>
      <c r="Z73" s="4"/>
      <c r="AA73" s="4"/>
      <c r="AB73" s="5"/>
      <c r="AC73" s="4"/>
      <c r="AD73" s="4"/>
      <c r="AE73" s="5"/>
      <c r="AF73" s="4"/>
      <c r="AG73" s="4"/>
      <c r="AH73" s="5"/>
      <c r="AI73" s="4"/>
      <c r="AJ73" s="4"/>
      <c r="AK73" s="5"/>
      <c r="AL73" s="5">
        <f t="shared" si="15"/>
        <v>0</v>
      </c>
      <c r="AM73" s="5">
        <f t="shared" si="16"/>
        <v>0</v>
      </c>
      <c r="AN73" s="5">
        <f t="shared" si="17"/>
        <v>0</v>
      </c>
      <c r="AP73" s="5">
        <v>0</v>
      </c>
      <c r="AR73" s="24"/>
    </row>
    <row r="74" spans="1:44" x14ac:dyDescent="0.25">
      <c r="A74" s="3" t="s">
        <v>64</v>
      </c>
      <c r="B74" s="4"/>
      <c r="C74" s="5">
        <f>0</f>
        <v>0</v>
      </c>
      <c r="D74" s="5">
        <f t="shared" si="9"/>
        <v>0</v>
      </c>
      <c r="E74" s="4"/>
      <c r="F74" s="5">
        <f>0</f>
        <v>0</v>
      </c>
      <c r="G74" s="5">
        <f t="shared" si="10"/>
        <v>0</v>
      </c>
      <c r="H74" s="4"/>
      <c r="I74" s="5">
        <f>0</f>
        <v>0</v>
      </c>
      <c r="J74" s="5">
        <f t="shared" si="11"/>
        <v>0</v>
      </c>
      <c r="K74" s="5">
        <f>3425</f>
        <v>3425</v>
      </c>
      <c r="L74" s="5">
        <f>3400</f>
        <v>3400</v>
      </c>
      <c r="M74" s="5">
        <f t="shared" si="12"/>
        <v>25</v>
      </c>
      <c r="N74" s="5">
        <f>50</f>
        <v>50</v>
      </c>
      <c r="O74" s="5">
        <f>0</f>
        <v>0</v>
      </c>
      <c r="P74" s="5">
        <f t="shared" si="13"/>
        <v>50</v>
      </c>
      <c r="Q74" s="5">
        <f>50</f>
        <v>50</v>
      </c>
      <c r="R74" s="5">
        <f>0</f>
        <v>0</v>
      </c>
      <c r="S74" s="5">
        <f t="shared" si="14"/>
        <v>50</v>
      </c>
      <c r="T74" s="4"/>
      <c r="U74" s="5"/>
      <c r="V74" s="5"/>
      <c r="W74" s="4"/>
      <c r="X74" s="5"/>
      <c r="Y74" s="5"/>
      <c r="Z74" s="4"/>
      <c r="AA74" s="5"/>
      <c r="AB74" s="5"/>
      <c r="AC74" s="4"/>
      <c r="AD74" s="5"/>
      <c r="AE74" s="5"/>
      <c r="AF74" s="4"/>
      <c r="AG74" s="5"/>
      <c r="AH74" s="5"/>
      <c r="AI74" s="4"/>
      <c r="AJ74" s="5"/>
      <c r="AK74" s="5"/>
      <c r="AL74" s="5">
        <f t="shared" si="15"/>
        <v>3525</v>
      </c>
      <c r="AM74" s="5">
        <f t="shared" si="16"/>
        <v>3400</v>
      </c>
      <c r="AN74" s="5">
        <f t="shared" si="17"/>
        <v>125</v>
      </c>
      <c r="AP74" s="5">
        <v>3400</v>
      </c>
      <c r="AR74" s="24"/>
    </row>
    <row r="75" spans="1:44" x14ac:dyDescent="0.25">
      <c r="A75" s="3" t="s">
        <v>65</v>
      </c>
      <c r="B75" s="4"/>
      <c r="C75" s="4"/>
      <c r="D75" s="5">
        <f t="shared" si="9"/>
        <v>0</v>
      </c>
      <c r="E75" s="5">
        <f>1</f>
        <v>1</v>
      </c>
      <c r="F75" s="4"/>
      <c r="G75" s="5">
        <f t="shared" si="10"/>
        <v>1</v>
      </c>
      <c r="H75" s="5">
        <f>-1</f>
        <v>-1</v>
      </c>
      <c r="I75" s="4"/>
      <c r="J75" s="5">
        <f t="shared" si="11"/>
        <v>-1</v>
      </c>
      <c r="K75" s="4"/>
      <c r="L75" s="4"/>
      <c r="M75" s="5">
        <f t="shared" si="12"/>
        <v>0</v>
      </c>
      <c r="N75" s="4"/>
      <c r="O75" s="4"/>
      <c r="P75" s="5">
        <f t="shared" si="13"/>
        <v>0</v>
      </c>
      <c r="Q75" s="4"/>
      <c r="R75" s="4"/>
      <c r="S75" s="5">
        <f t="shared" si="14"/>
        <v>0</v>
      </c>
      <c r="T75" s="4"/>
      <c r="U75" s="4"/>
      <c r="V75" s="5"/>
      <c r="W75" s="4"/>
      <c r="X75" s="4"/>
      <c r="Y75" s="5"/>
      <c r="Z75" s="4"/>
      <c r="AA75" s="4"/>
      <c r="AB75" s="5"/>
      <c r="AC75" s="4"/>
      <c r="AD75" s="4"/>
      <c r="AE75" s="5"/>
      <c r="AF75" s="4"/>
      <c r="AG75" s="4"/>
      <c r="AH75" s="5"/>
      <c r="AI75" s="4"/>
      <c r="AJ75" s="4"/>
      <c r="AK75" s="5"/>
      <c r="AL75" s="5">
        <f t="shared" si="15"/>
        <v>0</v>
      </c>
      <c r="AM75" s="5">
        <f t="shared" si="16"/>
        <v>0</v>
      </c>
      <c r="AN75" s="5">
        <f t="shared" si="17"/>
        <v>0</v>
      </c>
      <c r="AP75" s="5">
        <v>0</v>
      </c>
      <c r="AR75" s="24"/>
    </row>
    <row r="76" spans="1:44" x14ac:dyDescent="0.25">
      <c r="A76" s="3" t="s">
        <v>66</v>
      </c>
      <c r="B76" s="4"/>
      <c r="C76" s="5">
        <f>167</f>
        <v>167</v>
      </c>
      <c r="D76" s="5">
        <f t="shared" si="9"/>
        <v>-167</v>
      </c>
      <c r="E76" s="4"/>
      <c r="F76" s="5">
        <f>167</f>
        <v>167</v>
      </c>
      <c r="G76" s="5">
        <f t="shared" si="10"/>
        <v>-167</v>
      </c>
      <c r="H76" s="5">
        <f>75</f>
        <v>75</v>
      </c>
      <c r="I76" s="5">
        <f>167</f>
        <v>167</v>
      </c>
      <c r="J76" s="5">
        <f t="shared" si="11"/>
        <v>-92</v>
      </c>
      <c r="K76" s="5">
        <f>1282.65</f>
        <v>1282.6500000000001</v>
      </c>
      <c r="L76" s="5">
        <f>167</f>
        <v>167</v>
      </c>
      <c r="M76" s="5">
        <f t="shared" si="12"/>
        <v>1115.6500000000001</v>
      </c>
      <c r="N76" s="4"/>
      <c r="O76" s="5">
        <f>167</f>
        <v>167</v>
      </c>
      <c r="P76" s="5">
        <f t="shared" si="13"/>
        <v>-167</v>
      </c>
      <c r="Q76" s="4"/>
      <c r="R76" s="5">
        <f>167</f>
        <v>167</v>
      </c>
      <c r="S76" s="5">
        <f t="shared" si="14"/>
        <v>-167</v>
      </c>
      <c r="T76" s="4"/>
      <c r="U76" s="5"/>
      <c r="V76" s="5"/>
      <c r="W76" s="4"/>
      <c r="X76" s="5"/>
      <c r="Y76" s="5"/>
      <c r="Z76" s="4"/>
      <c r="AA76" s="5"/>
      <c r="AB76" s="5"/>
      <c r="AC76" s="4"/>
      <c r="AD76" s="5"/>
      <c r="AE76" s="5"/>
      <c r="AF76" s="4"/>
      <c r="AG76" s="5"/>
      <c r="AH76" s="5"/>
      <c r="AI76" s="4"/>
      <c r="AJ76" s="5"/>
      <c r="AK76" s="5"/>
      <c r="AL76" s="5">
        <f t="shared" si="15"/>
        <v>1357.65</v>
      </c>
      <c r="AM76" s="5">
        <f t="shared" si="16"/>
        <v>1002</v>
      </c>
      <c r="AN76" s="5">
        <f t="shared" si="17"/>
        <v>355.65000000000009</v>
      </c>
      <c r="AP76" s="5">
        <v>2000</v>
      </c>
      <c r="AR76" s="24"/>
    </row>
    <row r="77" spans="1:44" x14ac:dyDescent="0.25">
      <c r="A77" s="3" t="s">
        <v>67</v>
      </c>
      <c r="B77" s="4"/>
      <c r="C77" s="5">
        <f>83</f>
        <v>83</v>
      </c>
      <c r="D77" s="5">
        <f t="shared" si="9"/>
        <v>-83</v>
      </c>
      <c r="E77" s="5">
        <f>520</f>
        <v>520</v>
      </c>
      <c r="F77" s="5">
        <f>83</f>
        <v>83</v>
      </c>
      <c r="G77" s="5">
        <f t="shared" si="10"/>
        <v>437</v>
      </c>
      <c r="H77" s="4"/>
      <c r="I77" s="5">
        <f>83</f>
        <v>83</v>
      </c>
      <c r="J77" s="5">
        <f t="shared" si="11"/>
        <v>-83</v>
      </c>
      <c r="K77" s="4"/>
      <c r="L77" s="5">
        <f>83</f>
        <v>83</v>
      </c>
      <c r="M77" s="5">
        <f t="shared" si="12"/>
        <v>-83</v>
      </c>
      <c r="N77" s="4"/>
      <c r="O77" s="5">
        <f>83</f>
        <v>83</v>
      </c>
      <c r="P77" s="5">
        <f t="shared" si="13"/>
        <v>-83</v>
      </c>
      <c r="Q77" s="5">
        <f>105</f>
        <v>105</v>
      </c>
      <c r="R77" s="5">
        <f>83</f>
        <v>83</v>
      </c>
      <c r="S77" s="5">
        <f t="shared" si="14"/>
        <v>22</v>
      </c>
      <c r="T77" s="4"/>
      <c r="U77" s="5"/>
      <c r="V77" s="5"/>
      <c r="W77" s="4"/>
      <c r="X77" s="5"/>
      <c r="Y77" s="5"/>
      <c r="Z77" s="4"/>
      <c r="AA77" s="5"/>
      <c r="AB77" s="5"/>
      <c r="AC77" s="4"/>
      <c r="AD77" s="5"/>
      <c r="AE77" s="5"/>
      <c r="AF77" s="4"/>
      <c r="AG77" s="5"/>
      <c r="AH77" s="5"/>
      <c r="AI77" s="4"/>
      <c r="AJ77" s="5"/>
      <c r="AK77" s="5"/>
      <c r="AL77" s="5">
        <f t="shared" si="15"/>
        <v>625</v>
      </c>
      <c r="AM77" s="5">
        <f t="shared" si="16"/>
        <v>498</v>
      </c>
      <c r="AN77" s="5">
        <f t="shared" si="17"/>
        <v>127</v>
      </c>
      <c r="AP77" s="5">
        <v>1000</v>
      </c>
      <c r="AR77" s="24"/>
    </row>
    <row r="78" spans="1:44" x14ac:dyDescent="0.25">
      <c r="A78" s="3" t="s">
        <v>68</v>
      </c>
      <c r="B78" s="5">
        <f>167.54</f>
        <v>167.54</v>
      </c>
      <c r="C78" s="5">
        <f>144</f>
        <v>144</v>
      </c>
      <c r="D78" s="5">
        <f t="shared" si="9"/>
        <v>23.539999999999992</v>
      </c>
      <c r="E78" s="5">
        <f>79.8</f>
        <v>79.8</v>
      </c>
      <c r="F78" s="5">
        <f>92</f>
        <v>92</v>
      </c>
      <c r="G78" s="5">
        <f t="shared" si="10"/>
        <v>-12.200000000000003</v>
      </c>
      <c r="H78" s="5">
        <f>80.88</f>
        <v>80.88</v>
      </c>
      <c r="I78" s="5">
        <f>148</f>
        <v>148</v>
      </c>
      <c r="J78" s="5">
        <f t="shared" si="11"/>
        <v>-67.12</v>
      </c>
      <c r="K78" s="5">
        <f>128.1</f>
        <v>128.1</v>
      </c>
      <c r="L78" s="5">
        <f>122</f>
        <v>122</v>
      </c>
      <c r="M78" s="5">
        <f t="shared" si="12"/>
        <v>6.0999999999999943</v>
      </c>
      <c r="N78" s="5">
        <f>939.55</f>
        <v>939.55</v>
      </c>
      <c r="O78" s="5">
        <f>353</f>
        <v>353</v>
      </c>
      <c r="P78" s="5">
        <f t="shared" si="13"/>
        <v>586.54999999999995</v>
      </c>
      <c r="Q78" s="5">
        <f>304.99</f>
        <v>304.99</v>
      </c>
      <c r="R78" s="5">
        <f>385</f>
        <v>385</v>
      </c>
      <c r="S78" s="5">
        <f t="shared" si="14"/>
        <v>-80.009999999999991</v>
      </c>
      <c r="T78" s="5"/>
      <c r="U78" s="5"/>
      <c r="V78" s="5"/>
      <c r="W78" s="4"/>
      <c r="X78" s="5"/>
      <c r="Y78" s="5"/>
      <c r="Z78" s="4"/>
      <c r="AA78" s="5"/>
      <c r="AB78" s="5"/>
      <c r="AC78" s="4"/>
      <c r="AD78" s="5"/>
      <c r="AE78" s="5"/>
      <c r="AF78" s="4"/>
      <c r="AG78" s="5"/>
      <c r="AH78" s="5"/>
      <c r="AI78" s="4"/>
      <c r="AJ78" s="5"/>
      <c r="AK78" s="5"/>
      <c r="AL78" s="5">
        <f t="shared" si="15"/>
        <v>1700.86</v>
      </c>
      <c r="AM78" s="5">
        <f t="shared" si="16"/>
        <v>1244</v>
      </c>
      <c r="AN78" s="5">
        <f t="shared" si="17"/>
        <v>456.8599999999999</v>
      </c>
      <c r="AP78" s="5">
        <v>1800</v>
      </c>
      <c r="AR78" s="24"/>
    </row>
    <row r="79" spans="1:44" x14ac:dyDescent="0.25">
      <c r="A79" s="3" t="s">
        <v>69</v>
      </c>
      <c r="B79" s="5">
        <f>385.95</f>
        <v>385.95</v>
      </c>
      <c r="C79" s="5">
        <f>125</f>
        <v>125</v>
      </c>
      <c r="D79" s="5">
        <f t="shared" si="9"/>
        <v>260.95</v>
      </c>
      <c r="E79" s="5">
        <f>132.39</f>
        <v>132.38999999999999</v>
      </c>
      <c r="F79" s="5">
        <f>125</f>
        <v>125</v>
      </c>
      <c r="G79" s="5">
        <f t="shared" si="10"/>
        <v>7.3899999999999864</v>
      </c>
      <c r="H79" s="5">
        <f>1228.02</f>
        <v>1228.02</v>
      </c>
      <c r="I79" s="5">
        <f>125</f>
        <v>125</v>
      </c>
      <c r="J79" s="5">
        <f t="shared" si="11"/>
        <v>1103.02</v>
      </c>
      <c r="K79" s="5">
        <f>99</f>
        <v>99</v>
      </c>
      <c r="L79" s="5">
        <f>125</f>
        <v>125</v>
      </c>
      <c r="M79" s="5">
        <f t="shared" si="12"/>
        <v>-26</v>
      </c>
      <c r="N79" s="4"/>
      <c r="O79" s="5">
        <f>125</f>
        <v>125</v>
      </c>
      <c r="P79" s="5">
        <f t="shared" si="13"/>
        <v>-125</v>
      </c>
      <c r="Q79" s="4"/>
      <c r="R79" s="5">
        <f>125</f>
        <v>125</v>
      </c>
      <c r="S79" s="5">
        <f t="shared" si="14"/>
        <v>-125</v>
      </c>
      <c r="T79" s="4"/>
      <c r="U79" s="5"/>
      <c r="V79" s="5"/>
      <c r="W79" s="4"/>
      <c r="X79" s="5"/>
      <c r="Y79" s="5"/>
      <c r="Z79" s="4"/>
      <c r="AA79" s="5"/>
      <c r="AB79" s="5"/>
      <c r="AC79" s="4"/>
      <c r="AD79" s="5"/>
      <c r="AE79" s="5"/>
      <c r="AF79" s="4"/>
      <c r="AG79" s="5"/>
      <c r="AH79" s="5"/>
      <c r="AI79" s="4"/>
      <c r="AJ79" s="5"/>
      <c r="AK79" s="5"/>
      <c r="AL79" s="5">
        <f t="shared" si="15"/>
        <v>1845.36</v>
      </c>
      <c r="AM79" s="5">
        <f t="shared" si="16"/>
        <v>750</v>
      </c>
      <c r="AN79" s="5">
        <f t="shared" si="17"/>
        <v>1095.3599999999999</v>
      </c>
      <c r="AP79" s="5">
        <v>1500</v>
      </c>
      <c r="AR79" s="24"/>
    </row>
    <row r="80" spans="1:44" x14ac:dyDescent="0.25">
      <c r="A80" s="3" t="s">
        <v>70</v>
      </c>
      <c r="B80" s="5">
        <f>-796.86</f>
        <v>-796.86</v>
      </c>
      <c r="C80" s="5">
        <f>42</f>
        <v>42</v>
      </c>
      <c r="D80" s="5">
        <f t="shared" si="9"/>
        <v>-838.86</v>
      </c>
      <c r="E80" s="4"/>
      <c r="F80" s="5">
        <f>42</f>
        <v>42</v>
      </c>
      <c r="G80" s="5">
        <f t="shared" si="10"/>
        <v>-42</v>
      </c>
      <c r="H80" s="5">
        <f>45.4</f>
        <v>45.4</v>
      </c>
      <c r="I80" s="5">
        <f>42</f>
        <v>42</v>
      </c>
      <c r="J80" s="5">
        <f t="shared" si="11"/>
        <v>3.3999999999999986</v>
      </c>
      <c r="K80" s="4"/>
      <c r="L80" s="5">
        <f>42</f>
        <v>42</v>
      </c>
      <c r="M80" s="5">
        <f t="shared" si="12"/>
        <v>-42</v>
      </c>
      <c r="N80" s="4"/>
      <c r="O80" s="5">
        <f>42</f>
        <v>42</v>
      </c>
      <c r="P80" s="5">
        <f t="shared" si="13"/>
        <v>-42</v>
      </c>
      <c r="Q80" s="4"/>
      <c r="R80" s="5">
        <f>42</f>
        <v>42</v>
      </c>
      <c r="S80" s="5">
        <f t="shared" si="14"/>
        <v>-42</v>
      </c>
      <c r="T80" s="4"/>
      <c r="U80" s="5"/>
      <c r="V80" s="5"/>
      <c r="W80" s="4"/>
      <c r="X80" s="5"/>
      <c r="Y80" s="5"/>
      <c r="Z80" s="4"/>
      <c r="AA80" s="5"/>
      <c r="AB80" s="5"/>
      <c r="AC80" s="4"/>
      <c r="AD80" s="5"/>
      <c r="AE80" s="5"/>
      <c r="AF80" s="4"/>
      <c r="AG80" s="5"/>
      <c r="AH80" s="5"/>
      <c r="AI80" s="4"/>
      <c r="AJ80" s="5"/>
      <c r="AK80" s="5"/>
      <c r="AL80" s="5">
        <f t="shared" si="15"/>
        <v>-751.46</v>
      </c>
      <c r="AM80" s="5">
        <f t="shared" si="16"/>
        <v>252</v>
      </c>
      <c r="AN80" s="5">
        <f t="shared" si="17"/>
        <v>-1003.46</v>
      </c>
      <c r="AP80" s="5">
        <v>500</v>
      </c>
      <c r="AR80" s="24"/>
    </row>
    <row r="81" spans="1:44" x14ac:dyDescent="0.25">
      <c r="A81" s="3" t="s">
        <v>71</v>
      </c>
      <c r="B81" s="4"/>
      <c r="C81" s="5">
        <f>0</f>
        <v>0</v>
      </c>
      <c r="D81" s="5">
        <f t="shared" si="9"/>
        <v>0</v>
      </c>
      <c r="E81" s="5">
        <f>-75</f>
        <v>-75</v>
      </c>
      <c r="F81" s="5">
        <f>0</f>
        <v>0</v>
      </c>
      <c r="G81" s="5">
        <f t="shared" si="10"/>
        <v>-75</v>
      </c>
      <c r="H81" s="4"/>
      <c r="I81" s="5">
        <f>0</f>
        <v>0</v>
      </c>
      <c r="J81" s="5">
        <f t="shared" si="11"/>
        <v>0</v>
      </c>
      <c r="K81" s="4"/>
      <c r="L81" s="5">
        <f>0</f>
        <v>0</v>
      </c>
      <c r="M81" s="5">
        <f t="shared" si="12"/>
        <v>0</v>
      </c>
      <c r="N81" s="4"/>
      <c r="O81" s="5">
        <f>0</f>
        <v>0</v>
      </c>
      <c r="P81" s="5">
        <f t="shared" si="13"/>
        <v>0</v>
      </c>
      <c r="Q81" s="4"/>
      <c r="R81" s="5">
        <f>0</f>
        <v>0</v>
      </c>
      <c r="S81" s="5">
        <f t="shared" si="14"/>
        <v>0</v>
      </c>
      <c r="T81" s="4"/>
      <c r="U81" s="5"/>
      <c r="V81" s="5"/>
      <c r="W81" s="4"/>
      <c r="X81" s="5"/>
      <c r="Y81" s="5"/>
      <c r="Z81" s="4"/>
      <c r="AA81" s="5"/>
      <c r="AB81" s="5"/>
      <c r="AC81" s="4"/>
      <c r="AD81" s="5"/>
      <c r="AE81" s="5"/>
      <c r="AF81" s="4"/>
      <c r="AG81" s="5"/>
      <c r="AH81" s="5"/>
      <c r="AI81" s="4"/>
      <c r="AJ81" s="5"/>
      <c r="AK81" s="5"/>
      <c r="AL81" s="5">
        <f t="shared" si="15"/>
        <v>-75</v>
      </c>
      <c r="AM81" s="5">
        <f t="shared" si="16"/>
        <v>0</v>
      </c>
      <c r="AN81" s="5">
        <f t="shared" si="17"/>
        <v>-75</v>
      </c>
      <c r="AP81" s="5">
        <v>4000</v>
      </c>
      <c r="AR81" s="24"/>
    </row>
    <row r="82" spans="1:44" x14ac:dyDescent="0.25">
      <c r="A82" s="3" t="s">
        <v>72</v>
      </c>
      <c r="B82" s="4"/>
      <c r="C82" s="4"/>
      <c r="D82" s="5">
        <f t="shared" si="9"/>
        <v>0</v>
      </c>
      <c r="E82" s="4"/>
      <c r="F82" s="4"/>
      <c r="G82" s="5">
        <f t="shared" si="10"/>
        <v>0</v>
      </c>
      <c r="H82" s="4"/>
      <c r="I82" s="4"/>
      <c r="J82" s="5">
        <f t="shared" si="11"/>
        <v>0</v>
      </c>
      <c r="K82" s="5">
        <f>31</f>
        <v>31</v>
      </c>
      <c r="L82" s="4"/>
      <c r="M82" s="5">
        <f t="shared" si="12"/>
        <v>31</v>
      </c>
      <c r="N82" s="4"/>
      <c r="O82" s="4"/>
      <c r="P82" s="5">
        <f t="shared" si="13"/>
        <v>0</v>
      </c>
      <c r="Q82" s="4"/>
      <c r="R82" s="4"/>
      <c r="S82" s="5">
        <f t="shared" si="14"/>
        <v>0</v>
      </c>
      <c r="T82" s="4"/>
      <c r="U82" s="4"/>
      <c r="V82" s="5"/>
      <c r="W82" s="4"/>
      <c r="X82" s="4"/>
      <c r="Y82" s="5"/>
      <c r="Z82" s="4"/>
      <c r="AA82" s="4"/>
      <c r="AB82" s="5"/>
      <c r="AC82" s="4"/>
      <c r="AD82" s="4"/>
      <c r="AE82" s="5"/>
      <c r="AF82" s="4"/>
      <c r="AG82" s="4"/>
      <c r="AH82" s="5"/>
      <c r="AI82" s="4"/>
      <c r="AJ82" s="4"/>
      <c r="AK82" s="5"/>
      <c r="AL82" s="5">
        <f t="shared" si="15"/>
        <v>31</v>
      </c>
      <c r="AM82" s="5">
        <f t="shared" si="16"/>
        <v>0</v>
      </c>
      <c r="AN82" s="5">
        <f t="shared" si="17"/>
        <v>31</v>
      </c>
      <c r="AP82" s="5">
        <v>0</v>
      </c>
      <c r="AR82" s="24"/>
    </row>
    <row r="83" spans="1:44" x14ac:dyDescent="0.25">
      <c r="A83" s="3" t="s">
        <v>73</v>
      </c>
      <c r="B83" s="4"/>
      <c r="C83" s="5">
        <f>25</f>
        <v>25</v>
      </c>
      <c r="D83" s="5">
        <f t="shared" si="9"/>
        <v>-25</v>
      </c>
      <c r="E83" s="4"/>
      <c r="F83" s="5">
        <f>25</f>
        <v>25</v>
      </c>
      <c r="G83" s="5">
        <f t="shared" si="10"/>
        <v>-25</v>
      </c>
      <c r="H83" s="4"/>
      <c r="I83" s="5">
        <f>25</f>
        <v>25</v>
      </c>
      <c r="J83" s="5">
        <f t="shared" si="11"/>
        <v>-25</v>
      </c>
      <c r="K83" s="4"/>
      <c r="L83" s="5">
        <f>25</f>
        <v>25</v>
      </c>
      <c r="M83" s="5">
        <f t="shared" si="12"/>
        <v>-25</v>
      </c>
      <c r="N83" s="4"/>
      <c r="O83" s="5">
        <f>25</f>
        <v>25</v>
      </c>
      <c r="P83" s="5">
        <f t="shared" si="13"/>
        <v>-25</v>
      </c>
      <c r="Q83" s="4"/>
      <c r="R83" s="5">
        <f>25</f>
        <v>25</v>
      </c>
      <c r="S83" s="5">
        <f t="shared" si="14"/>
        <v>-25</v>
      </c>
      <c r="T83" s="4"/>
      <c r="U83" s="5"/>
      <c r="V83" s="5"/>
      <c r="W83" s="4"/>
      <c r="X83" s="5"/>
      <c r="Y83" s="5"/>
      <c r="Z83" s="4"/>
      <c r="AA83" s="5"/>
      <c r="AB83" s="5"/>
      <c r="AC83" s="4"/>
      <c r="AD83" s="5"/>
      <c r="AE83" s="5"/>
      <c r="AF83" s="4"/>
      <c r="AG83" s="5"/>
      <c r="AH83" s="5"/>
      <c r="AI83" s="4"/>
      <c r="AJ83" s="5"/>
      <c r="AK83" s="5"/>
      <c r="AL83" s="5">
        <f t="shared" si="15"/>
        <v>0</v>
      </c>
      <c r="AM83" s="5">
        <f t="shared" si="16"/>
        <v>150</v>
      </c>
      <c r="AN83" s="5">
        <f t="shared" si="17"/>
        <v>-150</v>
      </c>
      <c r="AP83" s="5">
        <v>300</v>
      </c>
      <c r="AR83" s="24"/>
    </row>
    <row r="84" spans="1:44" x14ac:dyDescent="0.25">
      <c r="A84" s="3" t="s">
        <v>74</v>
      </c>
      <c r="B84" s="5">
        <f>181.19</f>
        <v>181.19</v>
      </c>
      <c r="C84" s="5">
        <f>325</f>
        <v>325</v>
      </c>
      <c r="D84" s="5">
        <f t="shared" si="9"/>
        <v>-143.81</v>
      </c>
      <c r="E84" s="5">
        <f>95.06</f>
        <v>95.06</v>
      </c>
      <c r="F84" s="5">
        <f>125</f>
        <v>125</v>
      </c>
      <c r="G84" s="5">
        <f t="shared" si="10"/>
        <v>-29.939999999999998</v>
      </c>
      <c r="H84" s="5">
        <f>95.06</f>
        <v>95.06</v>
      </c>
      <c r="I84" s="5">
        <f>125</f>
        <v>125</v>
      </c>
      <c r="J84" s="5">
        <f t="shared" si="11"/>
        <v>-29.939999999999998</v>
      </c>
      <c r="K84" s="5">
        <f>41.08</f>
        <v>41.08</v>
      </c>
      <c r="L84" s="5">
        <f>125</f>
        <v>125</v>
      </c>
      <c r="M84" s="5">
        <f t="shared" si="12"/>
        <v>-83.92</v>
      </c>
      <c r="N84" s="5">
        <f>95.06</f>
        <v>95.06</v>
      </c>
      <c r="O84" s="5">
        <f>125</f>
        <v>125</v>
      </c>
      <c r="P84" s="5">
        <f t="shared" si="13"/>
        <v>-29.939999999999998</v>
      </c>
      <c r="Q84" s="5">
        <f>95.06</f>
        <v>95.06</v>
      </c>
      <c r="R84" s="5">
        <f>125</f>
        <v>125</v>
      </c>
      <c r="S84" s="5">
        <f t="shared" si="14"/>
        <v>-29.939999999999998</v>
      </c>
      <c r="T84" s="5"/>
      <c r="U84" s="5"/>
      <c r="V84" s="5"/>
      <c r="W84" s="4"/>
      <c r="X84" s="5"/>
      <c r="Y84" s="5"/>
      <c r="Z84" s="4"/>
      <c r="AA84" s="5"/>
      <c r="AB84" s="5"/>
      <c r="AC84" s="4"/>
      <c r="AD84" s="5"/>
      <c r="AE84" s="5"/>
      <c r="AF84" s="4"/>
      <c r="AG84" s="5"/>
      <c r="AH84" s="5"/>
      <c r="AI84" s="4"/>
      <c r="AJ84" s="5"/>
      <c r="AK84" s="5"/>
      <c r="AL84" s="5">
        <f t="shared" si="15"/>
        <v>602.51</v>
      </c>
      <c r="AM84" s="5">
        <f t="shared" si="16"/>
        <v>950</v>
      </c>
      <c r="AN84" s="5">
        <f t="shared" si="17"/>
        <v>-347.49</v>
      </c>
      <c r="AP84" s="5">
        <v>1700</v>
      </c>
      <c r="AR84" s="24"/>
    </row>
    <row r="85" spans="1:44" x14ac:dyDescent="0.25">
      <c r="A85" s="3" t="s">
        <v>75</v>
      </c>
      <c r="B85" s="5">
        <f>3.64</f>
        <v>3.64</v>
      </c>
      <c r="C85" s="5">
        <f>19</f>
        <v>19</v>
      </c>
      <c r="D85" s="5">
        <f t="shared" si="9"/>
        <v>-15.36</v>
      </c>
      <c r="E85" s="4"/>
      <c r="F85" s="5">
        <f>900</f>
        <v>900</v>
      </c>
      <c r="G85" s="5">
        <f t="shared" si="10"/>
        <v>-900</v>
      </c>
      <c r="H85" s="5">
        <f>202.72</f>
        <v>202.72</v>
      </c>
      <c r="I85" s="5">
        <f>19</f>
        <v>19</v>
      </c>
      <c r="J85" s="5">
        <f t="shared" si="11"/>
        <v>183.72</v>
      </c>
      <c r="K85" s="5">
        <f>97.41</f>
        <v>97.41</v>
      </c>
      <c r="L85" s="5">
        <f>19</f>
        <v>19</v>
      </c>
      <c r="M85" s="5">
        <f t="shared" si="12"/>
        <v>78.41</v>
      </c>
      <c r="N85" s="5">
        <f>6.52</f>
        <v>6.52</v>
      </c>
      <c r="O85" s="5">
        <f>19</f>
        <v>19</v>
      </c>
      <c r="P85" s="5">
        <f t="shared" si="13"/>
        <v>-12.48</v>
      </c>
      <c r="Q85" s="4"/>
      <c r="R85" s="5">
        <f>400</f>
        <v>400</v>
      </c>
      <c r="S85" s="5">
        <f t="shared" si="14"/>
        <v>-400</v>
      </c>
      <c r="T85" s="4"/>
      <c r="U85" s="5"/>
      <c r="V85" s="5"/>
      <c r="W85" s="4"/>
      <c r="X85" s="5"/>
      <c r="Y85" s="5"/>
      <c r="Z85" s="4"/>
      <c r="AA85" s="5"/>
      <c r="AB85" s="5"/>
      <c r="AC85" s="4"/>
      <c r="AD85" s="5"/>
      <c r="AE85" s="5"/>
      <c r="AF85" s="4"/>
      <c r="AG85" s="5"/>
      <c r="AH85" s="5"/>
      <c r="AI85" s="4"/>
      <c r="AJ85" s="5"/>
      <c r="AK85" s="5"/>
      <c r="AL85" s="5">
        <f t="shared" si="15"/>
        <v>310.28999999999996</v>
      </c>
      <c r="AM85" s="5">
        <f t="shared" si="16"/>
        <v>1376</v>
      </c>
      <c r="AN85" s="5">
        <f t="shared" si="17"/>
        <v>-1065.71</v>
      </c>
      <c r="AP85" s="5">
        <v>3000</v>
      </c>
      <c r="AR85" s="24"/>
    </row>
    <row r="86" spans="1:44" x14ac:dyDescent="0.25">
      <c r="A86" s="3" t="s">
        <v>76</v>
      </c>
      <c r="B86" s="4"/>
      <c r="C86" s="4"/>
      <c r="D86" s="5">
        <f t="shared" si="9"/>
        <v>0</v>
      </c>
      <c r="E86" s="4"/>
      <c r="F86" s="4"/>
      <c r="G86" s="5">
        <f t="shared" si="10"/>
        <v>0</v>
      </c>
      <c r="H86" s="5">
        <f>14.57</f>
        <v>14.57</v>
      </c>
      <c r="I86" s="4"/>
      <c r="J86" s="5">
        <f t="shared" si="11"/>
        <v>14.57</v>
      </c>
      <c r="K86" s="4"/>
      <c r="L86" s="4"/>
      <c r="M86" s="5">
        <f t="shared" si="12"/>
        <v>0</v>
      </c>
      <c r="N86" s="4"/>
      <c r="O86" s="4"/>
      <c r="P86" s="5">
        <f t="shared" si="13"/>
        <v>0</v>
      </c>
      <c r="Q86" s="4"/>
      <c r="R86" s="4"/>
      <c r="S86" s="5">
        <f t="shared" si="14"/>
        <v>0</v>
      </c>
      <c r="T86" s="4"/>
      <c r="U86" s="4"/>
      <c r="V86" s="5"/>
      <c r="W86" s="4"/>
      <c r="X86" s="4"/>
      <c r="Y86" s="5"/>
      <c r="Z86" s="4"/>
      <c r="AA86" s="4"/>
      <c r="AB86" s="5"/>
      <c r="AC86" s="4"/>
      <c r="AD86" s="4"/>
      <c r="AE86" s="5"/>
      <c r="AF86" s="4"/>
      <c r="AG86" s="4"/>
      <c r="AH86" s="5"/>
      <c r="AI86" s="4"/>
      <c r="AJ86" s="4"/>
      <c r="AK86" s="5"/>
      <c r="AL86" s="5">
        <f t="shared" si="15"/>
        <v>14.57</v>
      </c>
      <c r="AM86" s="5">
        <f t="shared" si="16"/>
        <v>0</v>
      </c>
      <c r="AN86" s="5">
        <f t="shared" si="17"/>
        <v>14.57</v>
      </c>
      <c r="AP86" s="5">
        <v>0</v>
      </c>
      <c r="AR86" s="24"/>
    </row>
    <row r="87" spans="1:44" x14ac:dyDescent="0.25">
      <c r="A87" s="3" t="s">
        <v>77</v>
      </c>
      <c r="B87" s="5">
        <f>124.53</f>
        <v>124.53</v>
      </c>
      <c r="C87" s="5">
        <f>167</f>
        <v>167</v>
      </c>
      <c r="D87" s="5">
        <f t="shared" si="9"/>
        <v>-42.47</v>
      </c>
      <c r="E87" s="4"/>
      <c r="F87" s="5">
        <f>167</f>
        <v>167</v>
      </c>
      <c r="G87" s="5">
        <f t="shared" si="10"/>
        <v>-167</v>
      </c>
      <c r="H87" s="4"/>
      <c r="I87" s="5">
        <f>167</f>
        <v>167</v>
      </c>
      <c r="J87" s="5">
        <f t="shared" si="11"/>
        <v>-167</v>
      </c>
      <c r="K87" s="5">
        <f>165.46</f>
        <v>165.46</v>
      </c>
      <c r="L87" s="5">
        <f>167</f>
        <v>167</v>
      </c>
      <c r="M87" s="5">
        <f t="shared" si="12"/>
        <v>-1.539999999999992</v>
      </c>
      <c r="N87" s="4"/>
      <c r="O87" s="5">
        <f>167</f>
        <v>167</v>
      </c>
      <c r="P87" s="5">
        <f t="shared" si="13"/>
        <v>-167</v>
      </c>
      <c r="Q87" s="4"/>
      <c r="R87" s="5">
        <f>167</f>
        <v>167</v>
      </c>
      <c r="S87" s="5">
        <f t="shared" si="14"/>
        <v>-167</v>
      </c>
      <c r="T87" s="4"/>
      <c r="U87" s="5"/>
      <c r="V87" s="5"/>
      <c r="W87" s="4"/>
      <c r="X87" s="5"/>
      <c r="Y87" s="5"/>
      <c r="Z87" s="4"/>
      <c r="AA87" s="5"/>
      <c r="AB87" s="5"/>
      <c r="AC87" s="4"/>
      <c r="AD87" s="5"/>
      <c r="AE87" s="5"/>
      <c r="AF87" s="4"/>
      <c r="AG87" s="5"/>
      <c r="AH87" s="5"/>
      <c r="AI87" s="4"/>
      <c r="AJ87" s="5"/>
      <c r="AK87" s="5"/>
      <c r="AL87" s="5">
        <f t="shared" si="15"/>
        <v>289.99</v>
      </c>
      <c r="AM87" s="5">
        <f t="shared" si="16"/>
        <v>1002</v>
      </c>
      <c r="AN87" s="5">
        <f t="shared" si="17"/>
        <v>-712.01</v>
      </c>
      <c r="AP87" s="5">
        <v>2000</v>
      </c>
      <c r="AR87" s="24"/>
    </row>
    <row r="88" spans="1:44" x14ac:dyDescent="0.25">
      <c r="A88" s="3" t="s">
        <v>78</v>
      </c>
      <c r="B88" s="5">
        <f>60</f>
        <v>60</v>
      </c>
      <c r="C88" s="5">
        <f>167</f>
        <v>167</v>
      </c>
      <c r="D88" s="5">
        <f t="shared" si="9"/>
        <v>-107</v>
      </c>
      <c r="E88" s="5">
        <f>87.99</f>
        <v>87.99</v>
      </c>
      <c r="F88" s="5">
        <f>167</f>
        <v>167</v>
      </c>
      <c r="G88" s="5">
        <f t="shared" si="10"/>
        <v>-79.010000000000005</v>
      </c>
      <c r="H88" s="5">
        <f>55</f>
        <v>55</v>
      </c>
      <c r="I88" s="5">
        <f>167</f>
        <v>167</v>
      </c>
      <c r="J88" s="5">
        <f t="shared" si="11"/>
        <v>-112</v>
      </c>
      <c r="K88" s="5">
        <f>336.14</f>
        <v>336.14</v>
      </c>
      <c r="L88" s="5">
        <f>167</f>
        <v>167</v>
      </c>
      <c r="M88" s="5">
        <f t="shared" si="12"/>
        <v>169.14</v>
      </c>
      <c r="N88" s="5">
        <f>61.75</f>
        <v>61.75</v>
      </c>
      <c r="O88" s="5">
        <f>167</f>
        <v>167</v>
      </c>
      <c r="P88" s="5">
        <f t="shared" si="13"/>
        <v>-105.25</v>
      </c>
      <c r="Q88" s="5">
        <f>207.7</f>
        <v>207.7</v>
      </c>
      <c r="R88" s="5">
        <f>167</f>
        <v>167</v>
      </c>
      <c r="S88" s="5">
        <f t="shared" si="14"/>
        <v>40.699999999999989</v>
      </c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>
        <f t="shared" si="15"/>
        <v>808.57999999999993</v>
      </c>
      <c r="AM88" s="5">
        <f t="shared" si="16"/>
        <v>1002</v>
      </c>
      <c r="AN88" s="5">
        <f t="shared" si="17"/>
        <v>-193.42000000000007</v>
      </c>
      <c r="AP88" s="5">
        <v>2000</v>
      </c>
      <c r="AR88" s="24"/>
    </row>
    <row r="89" spans="1:44" x14ac:dyDescent="0.25">
      <c r="A89" s="3" t="s">
        <v>79</v>
      </c>
      <c r="B89" s="6">
        <f>(((((((((((((((B73)+(B74))+(B75))+(B76))+(B77))+(B78))+(B79))+(B80))+(B81))+(B82))+(B83))+(B84))+(B85))+(B86))+(B87))+(B88)</f>
        <v>125.99</v>
      </c>
      <c r="C89" s="6">
        <f>(((((((((((((((C73)+(C74))+(C75))+(C76))+(C77))+(C78))+(C79))+(C80))+(C81))+(C82))+(C83))+(C84))+(C85))+(C86))+(C87))+(C88)</f>
        <v>1264</v>
      </c>
      <c r="D89" s="6">
        <f t="shared" si="9"/>
        <v>-1138.01</v>
      </c>
      <c r="E89" s="6">
        <f>(((((((((((((((E73)+(E74))+(E75))+(E76))+(E77))+(E78))+(E79))+(E80))+(E81))+(E82))+(E83))+(E84))+(E85))+(E86))+(E87))+(E88)</f>
        <v>841.24</v>
      </c>
      <c r="F89" s="6">
        <f>(((((((((((((((F73)+(F74))+(F75))+(F76))+(F77))+(F78))+(F79))+(F80))+(F81))+(F82))+(F83))+(F84))+(F85))+(F86))+(F87))+(F88)</f>
        <v>1893</v>
      </c>
      <c r="G89" s="6">
        <f t="shared" si="10"/>
        <v>-1051.76</v>
      </c>
      <c r="H89" s="6">
        <f>(((((((((((((((H73)+(H74))+(H75))+(H76))+(H77))+(H78))+(H79))+(H80))+(H81))+(H82))+(H83))+(H84))+(H85))+(H86))+(H87))+(H88)</f>
        <v>1795.65</v>
      </c>
      <c r="I89" s="6">
        <f>(((((((((((((((I73)+(I74))+(I75))+(I76))+(I77))+(I78))+(I79))+(I80))+(I81))+(I82))+(I83))+(I84))+(I85))+(I86))+(I87))+(I88)</f>
        <v>1068</v>
      </c>
      <c r="J89" s="6">
        <f t="shared" si="11"/>
        <v>727.65000000000009</v>
      </c>
      <c r="K89" s="6">
        <f>(((((((((((((((K73)+(K74))+(K75))+(K76))+(K77))+(K78))+(K79))+(K80))+(K81))+(K82))+(K83))+(K84))+(K85))+(K86))+(K87))+(K88)</f>
        <v>5605.84</v>
      </c>
      <c r="L89" s="6">
        <f>(((((((((((((((L73)+(L74))+(L75))+(L76))+(L77))+(L78))+(L79))+(L80))+(L81))+(L82))+(L83))+(L84))+(L85))+(L86))+(L87))+(L88)</f>
        <v>4442</v>
      </c>
      <c r="M89" s="6">
        <f t="shared" si="12"/>
        <v>1163.8400000000001</v>
      </c>
      <c r="N89" s="6">
        <f>(((((((((((((((N73)+(N74))+(N75))+(N76))+(N77))+(N78))+(N79))+(N80))+(N81))+(N82))+(N83))+(N84))+(N85))+(N86))+(N87))+(N88)</f>
        <v>1152.8799999999999</v>
      </c>
      <c r="O89" s="6">
        <f>(((((((((((((((O73)+(O74))+(O75))+(O76))+(O77))+(O78))+(O79))+(O80))+(O81))+(O82))+(O83))+(O84))+(O85))+(O86))+(O87))+(O88)</f>
        <v>1273</v>
      </c>
      <c r="P89" s="6">
        <f t="shared" si="13"/>
        <v>-120.12000000000012</v>
      </c>
      <c r="Q89" s="6">
        <f>(((((((((((((((Q73)+(Q74))+(Q75))+(Q76))+(Q77))+(Q78))+(Q79))+(Q80))+(Q81))+(Q82))+(Q83))+(Q84))+(Q85))+(Q86))+(Q87))+(Q88)</f>
        <v>762.75</v>
      </c>
      <c r="R89" s="6">
        <f>(((((((((((((((R73)+(R74))+(R75))+(R76))+(R77))+(R78))+(R79))+(R80))+(R81))+(R82))+(R83))+(R84))+(R85))+(R86))+(R87))+(R88)</f>
        <v>1686</v>
      </c>
      <c r="S89" s="6">
        <f t="shared" si="14"/>
        <v>-923.25</v>
      </c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>
        <f t="shared" si="15"/>
        <v>10284.35</v>
      </c>
      <c r="AM89" s="6">
        <f t="shared" si="16"/>
        <v>11626</v>
      </c>
      <c r="AN89" s="6">
        <f t="shared" si="17"/>
        <v>-1341.6499999999996</v>
      </c>
      <c r="AP89" s="6">
        <v>23200</v>
      </c>
      <c r="AR89" s="24"/>
    </row>
    <row r="90" spans="1:44" x14ac:dyDescent="0.25">
      <c r="A90" s="3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P90" s="18"/>
      <c r="AR90" s="24"/>
    </row>
    <row r="91" spans="1:44" x14ac:dyDescent="0.25">
      <c r="A91" s="3" t="s">
        <v>80</v>
      </c>
      <c r="B91" s="4"/>
      <c r="C91" s="4"/>
      <c r="D91" s="5">
        <f t="shared" si="9"/>
        <v>0</v>
      </c>
      <c r="E91" s="4"/>
      <c r="F91" s="4"/>
      <c r="G91" s="5">
        <f t="shared" si="10"/>
        <v>0</v>
      </c>
      <c r="H91" s="4"/>
      <c r="I91" s="4"/>
      <c r="J91" s="5">
        <f t="shared" si="11"/>
        <v>0</v>
      </c>
      <c r="K91" s="4"/>
      <c r="L91" s="4"/>
      <c r="M91" s="5">
        <f t="shared" si="12"/>
        <v>0</v>
      </c>
      <c r="N91" s="4"/>
      <c r="O91" s="4"/>
      <c r="P91" s="5">
        <f t="shared" si="13"/>
        <v>0</v>
      </c>
      <c r="Q91" s="4"/>
      <c r="R91" s="4"/>
      <c r="S91" s="5">
        <f t="shared" si="14"/>
        <v>0</v>
      </c>
      <c r="T91" s="4"/>
      <c r="U91" s="4"/>
      <c r="V91" s="5"/>
      <c r="W91" s="4"/>
      <c r="X91" s="4"/>
      <c r="Y91" s="5"/>
      <c r="Z91" s="4"/>
      <c r="AA91" s="4"/>
      <c r="AB91" s="5"/>
      <c r="AC91" s="4"/>
      <c r="AD91" s="4"/>
      <c r="AE91" s="5"/>
      <c r="AF91" s="4"/>
      <c r="AG91" s="4"/>
      <c r="AH91" s="5"/>
      <c r="AI91" s="4"/>
      <c r="AJ91" s="4"/>
      <c r="AK91" s="5"/>
      <c r="AL91" s="5">
        <f t="shared" si="15"/>
        <v>0</v>
      </c>
      <c r="AM91" s="5">
        <f t="shared" si="16"/>
        <v>0</v>
      </c>
      <c r="AN91" s="5">
        <f t="shared" si="17"/>
        <v>0</v>
      </c>
      <c r="AP91" s="5">
        <v>0</v>
      </c>
      <c r="AR91" s="24"/>
    </row>
    <row r="92" spans="1:44" x14ac:dyDescent="0.25">
      <c r="A92" s="3" t="s">
        <v>81</v>
      </c>
      <c r="B92" s="5">
        <f>19094.72</f>
        <v>19094.72</v>
      </c>
      <c r="C92" s="5">
        <f>19095</f>
        <v>19095</v>
      </c>
      <c r="D92" s="5">
        <f t="shared" si="9"/>
        <v>-0.27999999999883585</v>
      </c>
      <c r="E92" s="5">
        <f>19094.72</f>
        <v>19094.72</v>
      </c>
      <c r="F92" s="5">
        <f>19095</f>
        <v>19095</v>
      </c>
      <c r="G92" s="5">
        <f t="shared" si="10"/>
        <v>-0.27999999999883585</v>
      </c>
      <c r="H92" s="5">
        <f>19094.72</f>
        <v>19094.72</v>
      </c>
      <c r="I92" s="5">
        <f>19095</f>
        <v>19095</v>
      </c>
      <c r="J92" s="5">
        <f t="shared" si="11"/>
        <v>-0.27999999999883585</v>
      </c>
      <c r="K92" s="5">
        <f>19094.72</f>
        <v>19094.72</v>
      </c>
      <c r="L92" s="5">
        <f>19095</f>
        <v>19095</v>
      </c>
      <c r="M92" s="5">
        <f t="shared" si="12"/>
        <v>-0.27999999999883585</v>
      </c>
      <c r="N92" s="5">
        <f>19094.72</f>
        <v>19094.72</v>
      </c>
      <c r="O92" s="5">
        <f>19095</f>
        <v>19095</v>
      </c>
      <c r="P92" s="5">
        <f t="shared" si="13"/>
        <v>-0.27999999999883585</v>
      </c>
      <c r="Q92" s="5">
        <f>19094.72</f>
        <v>19094.72</v>
      </c>
      <c r="R92" s="5">
        <f>19095</f>
        <v>19095</v>
      </c>
      <c r="S92" s="5">
        <f t="shared" si="14"/>
        <v>-0.27999999999883585</v>
      </c>
      <c r="T92" s="5"/>
      <c r="U92" s="5"/>
      <c r="V92" s="5"/>
      <c r="W92" s="4"/>
      <c r="X92" s="5"/>
      <c r="Y92" s="5"/>
      <c r="Z92" s="4"/>
      <c r="AA92" s="5"/>
      <c r="AB92" s="5"/>
      <c r="AC92" s="4"/>
      <c r="AD92" s="5"/>
      <c r="AE92" s="5"/>
      <c r="AF92" s="4"/>
      <c r="AG92" s="5"/>
      <c r="AH92" s="5"/>
      <c r="AI92" s="4"/>
      <c r="AJ92" s="5"/>
      <c r="AK92" s="5"/>
      <c r="AL92" s="5">
        <f t="shared" si="15"/>
        <v>114568.32000000001</v>
      </c>
      <c r="AM92" s="5">
        <f t="shared" si="16"/>
        <v>114570</v>
      </c>
      <c r="AN92" s="5">
        <f t="shared" si="17"/>
        <v>-1.6799999999930151</v>
      </c>
      <c r="AP92" s="5">
        <v>229137</v>
      </c>
      <c r="AR92" s="24"/>
    </row>
    <row r="93" spans="1:44" x14ac:dyDescent="0.25">
      <c r="A93" s="3" t="s">
        <v>82</v>
      </c>
      <c r="B93" s="5">
        <f>50</f>
        <v>50</v>
      </c>
      <c r="C93" s="5">
        <f>2250</f>
        <v>2250</v>
      </c>
      <c r="D93" s="5">
        <f t="shared" si="9"/>
        <v>-2200</v>
      </c>
      <c r="E93" s="5">
        <f>5004</f>
        <v>5004</v>
      </c>
      <c r="F93" s="5">
        <f>1750</f>
        <v>1750</v>
      </c>
      <c r="G93" s="5">
        <f t="shared" si="10"/>
        <v>3254</v>
      </c>
      <c r="H93" s="5">
        <f>1212.5</f>
        <v>1212.5</v>
      </c>
      <c r="I93" s="5">
        <f>1250</f>
        <v>1250</v>
      </c>
      <c r="J93" s="5">
        <f t="shared" si="11"/>
        <v>-37.5</v>
      </c>
      <c r="K93" s="5">
        <f>700</f>
        <v>700</v>
      </c>
      <c r="L93" s="5">
        <f>1750</f>
        <v>1750</v>
      </c>
      <c r="M93" s="5">
        <f t="shared" si="12"/>
        <v>-1050</v>
      </c>
      <c r="N93" s="5">
        <f>812.5</f>
        <v>812.5</v>
      </c>
      <c r="O93" s="5">
        <f>1750</f>
        <v>1750</v>
      </c>
      <c r="P93" s="5">
        <f t="shared" si="13"/>
        <v>-937.5</v>
      </c>
      <c r="Q93" s="5">
        <f>1662.5</f>
        <v>1662.5</v>
      </c>
      <c r="R93" s="5">
        <f>1250</f>
        <v>1250</v>
      </c>
      <c r="S93" s="5">
        <f t="shared" si="14"/>
        <v>412.5</v>
      </c>
      <c r="T93" s="4"/>
      <c r="U93" s="5"/>
      <c r="V93" s="5"/>
      <c r="W93" s="4"/>
      <c r="X93" s="5"/>
      <c r="Y93" s="5"/>
      <c r="Z93" s="4"/>
      <c r="AA93" s="5"/>
      <c r="AB93" s="5"/>
      <c r="AC93" s="4"/>
      <c r="AD93" s="5"/>
      <c r="AE93" s="5"/>
      <c r="AF93" s="4"/>
      <c r="AG93" s="5"/>
      <c r="AH93" s="5"/>
      <c r="AI93" s="4"/>
      <c r="AJ93" s="5"/>
      <c r="AK93" s="5"/>
      <c r="AL93" s="5">
        <f t="shared" si="15"/>
        <v>9441.5</v>
      </c>
      <c r="AM93" s="5">
        <f t="shared" si="16"/>
        <v>10000</v>
      </c>
      <c r="AN93" s="5">
        <f t="shared" si="17"/>
        <v>-558.5</v>
      </c>
      <c r="AP93" s="5">
        <v>32500</v>
      </c>
      <c r="AR93" s="24"/>
    </row>
    <row r="94" spans="1:44" x14ac:dyDescent="0.25">
      <c r="A94" s="3" t="s">
        <v>83</v>
      </c>
      <c r="B94" s="5">
        <f>760.5</f>
        <v>760.5</v>
      </c>
      <c r="C94" s="5">
        <f>731</f>
        <v>731</v>
      </c>
      <c r="D94" s="5">
        <f t="shared" si="9"/>
        <v>29.5</v>
      </c>
      <c r="E94" s="5">
        <f>760.5</f>
        <v>760.5</v>
      </c>
      <c r="F94" s="5">
        <f>731</f>
        <v>731</v>
      </c>
      <c r="G94" s="5">
        <f t="shared" si="10"/>
        <v>29.5</v>
      </c>
      <c r="H94" s="5">
        <f>760.5</f>
        <v>760.5</v>
      </c>
      <c r="I94" s="5">
        <f>731</f>
        <v>731</v>
      </c>
      <c r="J94" s="5">
        <f t="shared" si="11"/>
        <v>29.5</v>
      </c>
      <c r="K94" s="5">
        <f>760.5</f>
        <v>760.5</v>
      </c>
      <c r="L94" s="5">
        <f>731</f>
        <v>731</v>
      </c>
      <c r="M94" s="5">
        <f t="shared" si="12"/>
        <v>29.5</v>
      </c>
      <c r="N94" s="5">
        <f>760.5</f>
        <v>760.5</v>
      </c>
      <c r="O94" s="5">
        <f>731</f>
        <v>731</v>
      </c>
      <c r="P94" s="5">
        <f t="shared" si="13"/>
        <v>29.5</v>
      </c>
      <c r="Q94" s="5">
        <f>760.5</f>
        <v>760.5</v>
      </c>
      <c r="R94" s="5">
        <f>731</f>
        <v>731</v>
      </c>
      <c r="S94" s="5">
        <f t="shared" si="14"/>
        <v>29.5</v>
      </c>
      <c r="T94" s="4"/>
      <c r="U94" s="5"/>
      <c r="V94" s="5"/>
      <c r="W94" s="4"/>
      <c r="X94" s="5"/>
      <c r="Y94" s="5"/>
      <c r="Z94" s="4"/>
      <c r="AA94" s="5"/>
      <c r="AB94" s="5"/>
      <c r="AC94" s="4"/>
      <c r="AD94" s="5"/>
      <c r="AE94" s="5"/>
      <c r="AF94" s="4"/>
      <c r="AG94" s="5"/>
      <c r="AH94" s="5"/>
      <c r="AI94" s="4"/>
      <c r="AJ94" s="5"/>
      <c r="AK94" s="5"/>
      <c r="AL94" s="5">
        <f t="shared" si="15"/>
        <v>4563</v>
      </c>
      <c r="AM94" s="5">
        <f t="shared" si="16"/>
        <v>4386</v>
      </c>
      <c r="AN94" s="5">
        <f t="shared" si="17"/>
        <v>177</v>
      </c>
      <c r="AP94" s="5">
        <v>8770</v>
      </c>
      <c r="AR94" s="24"/>
    </row>
    <row r="95" spans="1:44" ht="23.25" x14ac:dyDescent="0.25">
      <c r="A95" s="3" t="s">
        <v>84</v>
      </c>
      <c r="B95" s="5">
        <f>2450.88</f>
        <v>2450.88</v>
      </c>
      <c r="C95" s="5">
        <f>2606</f>
        <v>2606</v>
      </c>
      <c r="D95" s="5">
        <f t="shared" si="9"/>
        <v>-155.11999999999989</v>
      </c>
      <c r="E95" s="5">
        <f>2760.32</f>
        <v>2760.32</v>
      </c>
      <c r="F95" s="5">
        <f>2606</f>
        <v>2606</v>
      </c>
      <c r="G95" s="5">
        <f t="shared" si="10"/>
        <v>154.32000000000016</v>
      </c>
      <c r="H95" s="5">
        <f>-120.4</f>
        <v>-120.4</v>
      </c>
      <c r="I95" s="5">
        <f>2606</f>
        <v>2606</v>
      </c>
      <c r="J95" s="5">
        <f t="shared" si="11"/>
        <v>-2726.4</v>
      </c>
      <c r="K95" s="5">
        <f>2605.6</f>
        <v>2605.6</v>
      </c>
      <c r="L95" s="5">
        <f>2606</f>
        <v>2606</v>
      </c>
      <c r="M95" s="5">
        <f t="shared" si="12"/>
        <v>-0.40000000000009095</v>
      </c>
      <c r="N95" s="5">
        <f>2605.6</f>
        <v>2605.6</v>
      </c>
      <c r="O95" s="5">
        <f>2606</f>
        <v>2606</v>
      </c>
      <c r="P95" s="5">
        <f t="shared" si="13"/>
        <v>-0.40000000000009095</v>
      </c>
      <c r="Q95" s="5">
        <f>2605.6</f>
        <v>2605.6</v>
      </c>
      <c r="R95" s="5">
        <f>2606</f>
        <v>2606</v>
      </c>
      <c r="S95" s="5">
        <f t="shared" si="14"/>
        <v>-0.40000000000009095</v>
      </c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>
        <f t="shared" si="15"/>
        <v>12907.600000000002</v>
      </c>
      <c r="AM95" s="5">
        <f t="shared" si="16"/>
        <v>15636</v>
      </c>
      <c r="AN95" s="5">
        <f t="shared" si="17"/>
        <v>-2728.3999999999978</v>
      </c>
      <c r="AP95" s="5">
        <v>31267</v>
      </c>
      <c r="AR95" s="25" t="s">
        <v>129</v>
      </c>
    </row>
    <row r="96" spans="1:44" x14ac:dyDescent="0.25">
      <c r="A96" s="3" t="s">
        <v>85</v>
      </c>
      <c r="B96" s="6">
        <f>((((B91)+(B92))+(B93))+(B94))+(B95)</f>
        <v>22356.100000000002</v>
      </c>
      <c r="C96" s="6">
        <f>((((C91)+(C92))+(C93))+(C94))+(C95)</f>
        <v>24682</v>
      </c>
      <c r="D96" s="6">
        <f t="shared" si="9"/>
        <v>-2325.8999999999978</v>
      </c>
      <c r="E96" s="6">
        <f>((((E91)+(E92))+(E93))+(E94))+(E95)</f>
        <v>27619.54</v>
      </c>
      <c r="F96" s="6">
        <f>((((F91)+(F92))+(F93))+(F94))+(F95)</f>
        <v>24182</v>
      </c>
      <c r="G96" s="6">
        <f t="shared" si="10"/>
        <v>3437.5400000000009</v>
      </c>
      <c r="H96" s="6">
        <f>((((H91)+(H92))+(H93))+(H94))+(H95)</f>
        <v>20947.32</v>
      </c>
      <c r="I96" s="6">
        <f>((((I91)+(I92))+(I93))+(I94))+(I95)</f>
        <v>23682</v>
      </c>
      <c r="J96" s="6">
        <f t="shared" si="11"/>
        <v>-2734.6800000000003</v>
      </c>
      <c r="K96" s="6">
        <f>((((K91)+(K92))+(K93))+(K94))+(K95)</f>
        <v>23160.82</v>
      </c>
      <c r="L96" s="6">
        <f>((((L91)+(L92))+(L93))+(L94))+(L95)</f>
        <v>24182</v>
      </c>
      <c r="M96" s="6">
        <f t="shared" si="12"/>
        <v>-1021.1800000000003</v>
      </c>
      <c r="N96" s="6">
        <f>((((N91)+(N92))+(N93))+(N94))+(N95)</f>
        <v>23273.32</v>
      </c>
      <c r="O96" s="6">
        <f>((((O91)+(O92))+(O93))+(O94))+(O95)</f>
        <v>24182</v>
      </c>
      <c r="P96" s="6">
        <f t="shared" si="13"/>
        <v>-908.68000000000029</v>
      </c>
      <c r="Q96" s="6">
        <f>((((Q91)+(Q92))+(Q93))+(Q94))+(Q95)</f>
        <v>24123.32</v>
      </c>
      <c r="R96" s="6">
        <f>((((R91)+(R92))+(R93))+(R94))+(R95)</f>
        <v>23682</v>
      </c>
      <c r="S96" s="6">
        <f t="shared" si="14"/>
        <v>441.31999999999971</v>
      </c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>
        <f t="shared" si="15"/>
        <v>141480.42000000001</v>
      </c>
      <c r="AM96" s="6">
        <f t="shared" si="16"/>
        <v>144592</v>
      </c>
      <c r="AN96" s="6">
        <f t="shared" si="17"/>
        <v>-3111.5799999999872</v>
      </c>
      <c r="AP96" s="6">
        <v>301674</v>
      </c>
      <c r="AR96" s="24"/>
    </row>
    <row r="97" spans="1:44" x14ac:dyDescent="0.25">
      <c r="A97" s="3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P97" s="18"/>
      <c r="AR97" s="24"/>
    </row>
    <row r="98" spans="1:44" x14ac:dyDescent="0.25">
      <c r="A98" s="3" t="s">
        <v>86</v>
      </c>
      <c r="B98" s="5">
        <f>7890</f>
        <v>7890</v>
      </c>
      <c r="C98" s="5">
        <f>7890</f>
        <v>7890</v>
      </c>
      <c r="D98" s="5">
        <f t="shared" si="9"/>
        <v>0</v>
      </c>
      <c r="E98" s="5">
        <f>7890</f>
        <v>7890</v>
      </c>
      <c r="F98" s="5">
        <f>7890</f>
        <v>7890</v>
      </c>
      <c r="G98" s="5">
        <f t="shared" si="10"/>
        <v>0</v>
      </c>
      <c r="H98" s="5">
        <f>7890</f>
        <v>7890</v>
      </c>
      <c r="I98" s="5">
        <f>7890</f>
        <v>7890</v>
      </c>
      <c r="J98" s="5">
        <f t="shared" si="11"/>
        <v>0</v>
      </c>
      <c r="K98" s="5">
        <f>7890</f>
        <v>7890</v>
      </c>
      <c r="L98" s="5">
        <f>7890</f>
        <v>7890</v>
      </c>
      <c r="M98" s="5">
        <f t="shared" si="12"/>
        <v>0</v>
      </c>
      <c r="N98" s="5">
        <f>7890</f>
        <v>7890</v>
      </c>
      <c r="O98" s="5">
        <f>7890</f>
        <v>7890</v>
      </c>
      <c r="P98" s="5">
        <f t="shared" si="13"/>
        <v>0</v>
      </c>
      <c r="Q98" s="5">
        <f>7890</f>
        <v>7890</v>
      </c>
      <c r="R98" s="5">
        <f>7890</f>
        <v>7890</v>
      </c>
      <c r="S98" s="5">
        <f t="shared" si="14"/>
        <v>0</v>
      </c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>
        <f t="shared" si="15"/>
        <v>47340</v>
      </c>
      <c r="AM98" s="5">
        <f t="shared" si="16"/>
        <v>47340</v>
      </c>
      <c r="AN98" s="5">
        <f t="shared" si="17"/>
        <v>0</v>
      </c>
      <c r="AP98" s="5">
        <v>94680</v>
      </c>
      <c r="AR98" s="24"/>
    </row>
    <row r="99" spans="1:44" x14ac:dyDescent="0.25">
      <c r="A99" s="3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P99" s="5"/>
      <c r="AR99" s="24"/>
    </row>
    <row r="100" spans="1:44" s="20" customFormat="1" x14ac:dyDescent="0.25">
      <c r="A100" s="19" t="s">
        <v>87</v>
      </c>
      <c r="B100" s="7">
        <f>((((((((B51)+(B57))+(B61))+(B63))+(B64))+(B71))+(B89))+(B96))+(B98)</f>
        <v>34368.730000000003</v>
      </c>
      <c r="C100" s="7">
        <f>((((((((C51)+(C57))+(C61))+(C63))+(C64))+(C71))+(C89))+(C96))+(C98)</f>
        <v>36493</v>
      </c>
      <c r="D100" s="7">
        <f t="shared" si="9"/>
        <v>-2124.2699999999968</v>
      </c>
      <c r="E100" s="7">
        <f>((((((((E51)+(E57))+(E61))+(E63))+(E64))+(E71))+(E89))+(E96))+(E98)</f>
        <v>44915.630000000005</v>
      </c>
      <c r="F100" s="7">
        <f>((((((((F51)+(F57))+(F61))+(F63))+(F64))+(F71))+(F89))+(F96))+(F98)</f>
        <v>40747</v>
      </c>
      <c r="G100" s="7">
        <f t="shared" si="10"/>
        <v>4168.6300000000047</v>
      </c>
      <c r="H100" s="7">
        <f>((((((((H51)+(H57))+(H61))+(H63))+(H64))+(H71))+(H89))+(H96))+(H98)</f>
        <v>62222.32</v>
      </c>
      <c r="I100" s="7">
        <f>((((((((I51)+(I57))+(I61))+(I63))+(I64))+(I71))+(I89))+(I96))+(I98)</f>
        <v>43953</v>
      </c>
      <c r="J100" s="7">
        <f t="shared" si="11"/>
        <v>18269.32</v>
      </c>
      <c r="K100" s="7">
        <f>((((((((K51)+(K57))+(K61))+(K63))+(K64))+(K71))+(K89))+(K96))+(K98)</f>
        <v>52847.55</v>
      </c>
      <c r="L100" s="7">
        <f>((((((((L51)+(L57))+(L61))+(L63))+(L64))+(L71))+(L89))+(L96))+(L98)</f>
        <v>44325</v>
      </c>
      <c r="M100" s="7">
        <f t="shared" si="12"/>
        <v>8522.5500000000029</v>
      </c>
      <c r="N100" s="7">
        <f>((((((((N51)+(N57))+(N61))+(N63))+(N64))+(N71))+(N89))+(N96))+(N98)</f>
        <v>40926.49</v>
      </c>
      <c r="O100" s="7">
        <f>((((((((O51)+(O57))+(O61))+(O63))+(O64))+(O71))+(O89))+(O96))+(O98)</f>
        <v>49859</v>
      </c>
      <c r="P100" s="7">
        <f t="shared" si="13"/>
        <v>-8932.510000000002</v>
      </c>
      <c r="Q100" s="7">
        <f>((((((((Q51)+(Q57))+(Q61))+(Q63))+(Q64))+(Q71))+(Q89))+(Q96))+(Q98)</f>
        <v>36257.800000000003</v>
      </c>
      <c r="R100" s="7">
        <f>((((((((R51)+(R57))+(R61))+(R63))+(R64))+(R71))+(R89))+(R96))+(R98)</f>
        <v>37244</v>
      </c>
      <c r="S100" s="7">
        <f t="shared" si="14"/>
        <v>-986.19999999999709</v>
      </c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>
        <f t="shared" si="15"/>
        <v>271538.52</v>
      </c>
      <c r="AM100" s="7">
        <f t="shared" si="16"/>
        <v>252621</v>
      </c>
      <c r="AN100" s="7">
        <f t="shared" si="17"/>
        <v>18917.520000000019</v>
      </c>
      <c r="AP100" s="7">
        <v>486724</v>
      </c>
      <c r="AR100" s="26"/>
    </row>
    <row r="101" spans="1:44" x14ac:dyDescent="0.25">
      <c r="A101" s="3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P101" s="18"/>
      <c r="AR101" s="24"/>
    </row>
    <row r="102" spans="1:44" x14ac:dyDescent="0.25">
      <c r="A102" s="17" t="s">
        <v>120</v>
      </c>
      <c r="B102" s="6">
        <f>(B43)-(B100)</f>
        <v>7044.8099999999977</v>
      </c>
      <c r="C102" s="6">
        <f>(C43)-(C100)</f>
        <v>3768</v>
      </c>
      <c r="D102" s="6">
        <f t="shared" si="9"/>
        <v>3276.8099999999977</v>
      </c>
      <c r="E102" s="6">
        <f>(E43)-(E100)</f>
        <v>-16229.790000000005</v>
      </c>
      <c r="F102" s="6">
        <f>(F43)-(F100)</f>
        <v>-10192</v>
      </c>
      <c r="G102" s="6">
        <f t="shared" si="10"/>
        <v>-6037.7900000000045</v>
      </c>
      <c r="H102" s="6">
        <f>(H43)-(H100)</f>
        <v>-28771.269999999997</v>
      </c>
      <c r="I102" s="6">
        <f>(I43)-(I100)</f>
        <v>2961</v>
      </c>
      <c r="J102" s="6">
        <f t="shared" si="11"/>
        <v>-31732.269999999997</v>
      </c>
      <c r="K102" s="6">
        <f>(K43)-(K100)</f>
        <v>6073.5599999999977</v>
      </c>
      <c r="L102" s="6">
        <f>(L43)-(L100)</f>
        <v>742</v>
      </c>
      <c r="M102" s="6">
        <f t="shared" si="12"/>
        <v>5331.5599999999977</v>
      </c>
      <c r="N102" s="6">
        <f>(N43)-(N100)</f>
        <v>37608.340000000004</v>
      </c>
      <c r="O102" s="6">
        <f>(O43)-(O100)</f>
        <v>26152</v>
      </c>
      <c r="P102" s="6">
        <f t="shared" si="13"/>
        <v>11456.340000000004</v>
      </c>
      <c r="Q102" s="6">
        <f>(Q43)-(Q100)</f>
        <v>-5863.8200000000033</v>
      </c>
      <c r="R102" s="6">
        <f>(R43)-(R100)</f>
        <v>-14877</v>
      </c>
      <c r="S102" s="6">
        <f t="shared" si="14"/>
        <v>9013.1799999999967</v>
      </c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21">
        <f t="shared" si="15"/>
        <v>-138.17000000000189</v>
      </c>
      <c r="AM102" s="21">
        <f t="shared" si="16"/>
        <v>8554</v>
      </c>
      <c r="AN102" s="21">
        <f t="shared" si="17"/>
        <v>-8692.1700000000019</v>
      </c>
      <c r="AP102" s="21">
        <v>2454</v>
      </c>
      <c r="AR102" s="24"/>
    </row>
    <row r="103" spans="1:44" x14ac:dyDescent="0.25">
      <c r="A103" s="17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P103" s="18"/>
      <c r="AR103" s="24"/>
    </row>
    <row r="104" spans="1:44" x14ac:dyDescent="0.25">
      <c r="A104" s="17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P104" s="18"/>
      <c r="AR104" s="24"/>
    </row>
    <row r="105" spans="1:44" x14ac:dyDescent="0.25">
      <c r="A105" s="17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P105" s="18"/>
      <c r="AR105" s="24"/>
    </row>
    <row r="106" spans="1:44" x14ac:dyDescent="0.25">
      <c r="A106" s="17" t="s">
        <v>121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P106" s="4"/>
      <c r="AR106" s="24"/>
    </row>
    <row r="107" spans="1:44" x14ac:dyDescent="0.25">
      <c r="A107" s="3" t="s">
        <v>88</v>
      </c>
      <c r="B107" s="4"/>
      <c r="C107" s="4"/>
      <c r="D107" s="5">
        <f t="shared" ref="D107:D118" si="18">(B107)-(C107)</f>
        <v>0</v>
      </c>
      <c r="E107" s="4"/>
      <c r="F107" s="4"/>
      <c r="G107" s="5">
        <f t="shared" ref="G107:G118" si="19">(E107)-(F107)</f>
        <v>0</v>
      </c>
      <c r="H107" s="4"/>
      <c r="I107" s="4"/>
      <c r="J107" s="5">
        <f t="shared" ref="J107:J118" si="20">(H107)-(I107)</f>
        <v>0</v>
      </c>
      <c r="K107" s="4"/>
      <c r="L107" s="4"/>
      <c r="M107" s="5">
        <f t="shared" ref="M107:M118" si="21">(K107)-(L107)</f>
        <v>0</v>
      </c>
      <c r="N107" s="4"/>
      <c r="O107" s="4"/>
      <c r="P107" s="5">
        <f t="shared" ref="P107:P118" si="22">(N107)-(O107)</f>
        <v>0</v>
      </c>
      <c r="Q107" s="4"/>
      <c r="R107" s="4"/>
      <c r="S107" s="5">
        <f t="shared" ref="S107:S118" si="23">(Q107)-(R107)</f>
        <v>0</v>
      </c>
      <c r="T107" s="4"/>
      <c r="U107" s="4"/>
      <c r="V107" s="5"/>
      <c r="W107" s="4"/>
      <c r="X107" s="4"/>
      <c r="Y107" s="5"/>
      <c r="Z107" s="4"/>
      <c r="AA107" s="4"/>
      <c r="AB107" s="5"/>
      <c r="AC107" s="4"/>
      <c r="AD107" s="4"/>
      <c r="AE107" s="5"/>
      <c r="AF107" s="4"/>
      <c r="AG107" s="4"/>
      <c r="AH107" s="5"/>
      <c r="AI107" s="4"/>
      <c r="AJ107" s="4"/>
      <c r="AK107" s="5"/>
      <c r="AL107" s="5">
        <f t="shared" ref="AL107:AL118" si="24">(((((((((((B107)+(E107))+(H107))+(K107))+(N107))+(Q107))+(T107))+(W107))+(Z107))+(AC107))+(AF107))+(AI107)</f>
        <v>0</v>
      </c>
      <c r="AM107" s="5">
        <f t="shared" ref="AM107:AM118" si="25">(((((((((((C107)+(F107))+(I107))+(L107))+(O107))+(R107))+(U107))+(X107))+(AA107))+(AD107))+(AG107))+(AJ107)</f>
        <v>0</v>
      </c>
      <c r="AN107" s="5">
        <f t="shared" ref="AN107:AN118" si="26">(AL107)-(AM107)</f>
        <v>0</v>
      </c>
      <c r="AP107" s="5">
        <v>0</v>
      </c>
      <c r="AR107" s="24" t="s">
        <v>130</v>
      </c>
    </row>
    <row r="108" spans="1:44" x14ac:dyDescent="0.25">
      <c r="A108" s="3" t="s">
        <v>89</v>
      </c>
      <c r="B108" s="5">
        <f>2648.11</f>
        <v>2648.11</v>
      </c>
      <c r="C108" s="4"/>
      <c r="D108" s="5">
        <f t="shared" si="18"/>
        <v>2648.11</v>
      </c>
      <c r="E108" s="5">
        <f>3076.83</f>
        <v>3076.83</v>
      </c>
      <c r="F108" s="4"/>
      <c r="G108" s="5">
        <f t="shared" si="19"/>
        <v>3076.83</v>
      </c>
      <c r="H108" s="5">
        <f>8981.19</f>
        <v>8981.19</v>
      </c>
      <c r="I108" s="4"/>
      <c r="J108" s="5">
        <f t="shared" si="20"/>
        <v>8981.19</v>
      </c>
      <c r="K108" s="5">
        <f>2513.35</f>
        <v>2513.35</v>
      </c>
      <c r="L108" s="4"/>
      <c r="M108" s="5">
        <f t="shared" si="21"/>
        <v>2513.35</v>
      </c>
      <c r="N108" s="5">
        <f>3297.08</f>
        <v>3297.08</v>
      </c>
      <c r="O108" s="4"/>
      <c r="P108" s="5">
        <f t="shared" si="22"/>
        <v>3297.08</v>
      </c>
      <c r="Q108" s="5">
        <f>13891.37</f>
        <v>13891.37</v>
      </c>
      <c r="R108" s="4"/>
      <c r="S108" s="5">
        <f t="shared" si="23"/>
        <v>13891.37</v>
      </c>
      <c r="T108" s="4"/>
      <c r="U108" s="4"/>
      <c r="V108" s="5"/>
      <c r="W108" s="4"/>
      <c r="X108" s="4"/>
      <c r="Y108" s="5"/>
      <c r="Z108" s="4"/>
      <c r="AA108" s="4"/>
      <c r="AB108" s="5"/>
      <c r="AC108" s="4"/>
      <c r="AD108" s="4"/>
      <c r="AE108" s="5"/>
      <c r="AF108" s="4"/>
      <c r="AG108" s="4"/>
      <c r="AH108" s="5"/>
      <c r="AI108" s="4"/>
      <c r="AJ108" s="4"/>
      <c r="AK108" s="5"/>
      <c r="AL108" s="5">
        <f t="shared" si="24"/>
        <v>34407.93</v>
      </c>
      <c r="AM108" s="5">
        <f t="shared" si="25"/>
        <v>0</v>
      </c>
      <c r="AN108" s="5">
        <f t="shared" si="26"/>
        <v>34407.93</v>
      </c>
      <c r="AP108" s="5">
        <v>0</v>
      </c>
      <c r="AR108" s="24" t="s">
        <v>131</v>
      </c>
    </row>
    <row r="109" spans="1:44" x14ac:dyDescent="0.25">
      <c r="A109" s="3" t="s">
        <v>90</v>
      </c>
      <c r="B109" s="5">
        <f>93603.18</f>
        <v>93603.18</v>
      </c>
      <c r="C109" s="4"/>
      <c r="D109" s="5">
        <f t="shared" si="18"/>
        <v>93603.18</v>
      </c>
      <c r="E109" s="5">
        <f>-94514.26</f>
        <v>-94514.26</v>
      </c>
      <c r="F109" s="4"/>
      <c r="G109" s="5">
        <f t="shared" si="19"/>
        <v>-94514.26</v>
      </c>
      <c r="H109" s="5">
        <f>-43498.86</f>
        <v>-43498.86</v>
      </c>
      <c r="I109" s="4"/>
      <c r="J109" s="5">
        <f t="shared" si="20"/>
        <v>-43498.86</v>
      </c>
      <c r="K109" s="5">
        <f>4948.72</f>
        <v>4948.72</v>
      </c>
      <c r="L109" s="4"/>
      <c r="M109" s="5">
        <f t="shared" si="21"/>
        <v>4948.72</v>
      </c>
      <c r="N109" s="5">
        <f>42945.35</f>
        <v>42945.35</v>
      </c>
      <c r="O109" s="4"/>
      <c r="P109" s="5">
        <f t="shared" si="22"/>
        <v>42945.35</v>
      </c>
      <c r="Q109" s="5">
        <f>-24144.62</f>
        <v>-24144.62</v>
      </c>
      <c r="R109" s="4"/>
      <c r="S109" s="5">
        <f t="shared" si="23"/>
        <v>-24144.62</v>
      </c>
      <c r="T109" s="4"/>
      <c r="U109" s="4"/>
      <c r="V109" s="5"/>
      <c r="W109" s="4"/>
      <c r="X109" s="4"/>
      <c r="Y109" s="5"/>
      <c r="Z109" s="4"/>
      <c r="AA109" s="4"/>
      <c r="AB109" s="5"/>
      <c r="AC109" s="4"/>
      <c r="AD109" s="4"/>
      <c r="AE109" s="5"/>
      <c r="AF109" s="4"/>
      <c r="AG109" s="4"/>
      <c r="AH109" s="5"/>
      <c r="AI109" s="4"/>
      <c r="AJ109" s="4"/>
      <c r="AK109" s="5"/>
      <c r="AL109" s="5">
        <f t="shared" si="24"/>
        <v>-20660.490000000002</v>
      </c>
      <c r="AM109" s="5">
        <f t="shared" si="25"/>
        <v>0</v>
      </c>
      <c r="AN109" s="5">
        <f t="shared" si="26"/>
        <v>-20660.490000000002</v>
      </c>
      <c r="AP109" s="5">
        <v>0</v>
      </c>
      <c r="AR109" s="24" t="s">
        <v>132</v>
      </c>
    </row>
    <row r="110" spans="1:44" x14ac:dyDescent="0.25">
      <c r="A110" s="3" t="s">
        <v>91</v>
      </c>
      <c r="B110" s="6">
        <f>((B107)+(B108))+(B109)</f>
        <v>96251.29</v>
      </c>
      <c r="C110" s="6">
        <f>((C107)+(C108))+(C109)</f>
        <v>0</v>
      </c>
      <c r="D110" s="6">
        <f t="shared" si="18"/>
        <v>96251.29</v>
      </c>
      <c r="E110" s="6">
        <f>((E107)+(E108))+(E109)</f>
        <v>-91437.43</v>
      </c>
      <c r="F110" s="6">
        <f>((F107)+(F108))+(F109)</f>
        <v>0</v>
      </c>
      <c r="G110" s="6">
        <f t="shared" si="19"/>
        <v>-91437.43</v>
      </c>
      <c r="H110" s="6">
        <f>((H107)+(H108))+(H109)</f>
        <v>-34517.67</v>
      </c>
      <c r="I110" s="6">
        <f>((I107)+(I108))+(I109)</f>
        <v>0</v>
      </c>
      <c r="J110" s="6">
        <f t="shared" si="20"/>
        <v>-34517.67</v>
      </c>
      <c r="K110" s="6">
        <f>((K107)+(K108))+(K109)</f>
        <v>7462.07</v>
      </c>
      <c r="L110" s="6">
        <f>((L107)+(L108))+(L109)</f>
        <v>0</v>
      </c>
      <c r="M110" s="6">
        <f t="shared" si="21"/>
        <v>7462.07</v>
      </c>
      <c r="N110" s="6">
        <f>((N107)+(N108))+(N109)</f>
        <v>46242.43</v>
      </c>
      <c r="O110" s="6">
        <f>((O107)+(O108))+(O109)</f>
        <v>0</v>
      </c>
      <c r="P110" s="6">
        <f t="shared" si="22"/>
        <v>46242.43</v>
      </c>
      <c r="Q110" s="6">
        <f>((Q107)+(Q108))+(Q109)</f>
        <v>-10253.249999999998</v>
      </c>
      <c r="R110" s="6">
        <f>((R107)+(R108))+(R109)</f>
        <v>0</v>
      </c>
      <c r="S110" s="6">
        <f t="shared" si="23"/>
        <v>-10253.249999999998</v>
      </c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>
        <f t="shared" si="24"/>
        <v>13747.440000000004</v>
      </c>
      <c r="AM110" s="6">
        <f t="shared" si="25"/>
        <v>0</v>
      </c>
      <c r="AN110" s="6">
        <f t="shared" si="26"/>
        <v>13747.440000000004</v>
      </c>
      <c r="AP110" s="6">
        <v>0</v>
      </c>
      <c r="AR110" s="24"/>
    </row>
    <row r="111" spans="1:44" x14ac:dyDescent="0.25">
      <c r="A111" s="3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P111" s="18"/>
      <c r="AR111" s="24"/>
    </row>
    <row r="112" spans="1:44" x14ac:dyDescent="0.25">
      <c r="A112" s="3" t="s">
        <v>92</v>
      </c>
      <c r="B112" s="5">
        <f>105321</f>
        <v>105321</v>
      </c>
      <c r="C112" s="4"/>
      <c r="D112" s="5">
        <f t="shared" si="18"/>
        <v>105321</v>
      </c>
      <c r="E112" s="5">
        <f>164</f>
        <v>164</v>
      </c>
      <c r="F112" s="4"/>
      <c r="G112" s="5">
        <f t="shared" si="19"/>
        <v>164</v>
      </c>
      <c r="H112" s="5">
        <f>5514</f>
        <v>5514</v>
      </c>
      <c r="I112" s="4"/>
      <c r="J112" s="5">
        <f t="shared" si="20"/>
        <v>5514</v>
      </c>
      <c r="K112" s="5">
        <f>9864</f>
        <v>9864</v>
      </c>
      <c r="L112" s="4"/>
      <c r="M112" s="5">
        <f t="shared" si="21"/>
        <v>9864</v>
      </c>
      <c r="N112" s="5">
        <f>1680</f>
        <v>1680</v>
      </c>
      <c r="O112" s="4"/>
      <c r="P112" s="5">
        <f t="shared" si="22"/>
        <v>1680</v>
      </c>
      <c r="Q112" s="5">
        <f>51714</f>
        <v>51714</v>
      </c>
      <c r="R112" s="4"/>
      <c r="S112" s="5">
        <f t="shared" si="23"/>
        <v>51714</v>
      </c>
      <c r="T112" s="4"/>
      <c r="U112" s="4"/>
      <c r="V112" s="5"/>
      <c r="W112" s="4"/>
      <c r="X112" s="4"/>
      <c r="Y112" s="5"/>
      <c r="Z112" s="4"/>
      <c r="AA112" s="4"/>
      <c r="AB112" s="5"/>
      <c r="AC112" s="4"/>
      <c r="AD112" s="4"/>
      <c r="AE112" s="5"/>
      <c r="AF112" s="4"/>
      <c r="AG112" s="4"/>
      <c r="AH112" s="5"/>
      <c r="AI112" s="4"/>
      <c r="AJ112" s="4"/>
      <c r="AK112" s="5"/>
      <c r="AL112" s="5">
        <f t="shared" si="24"/>
        <v>174257</v>
      </c>
      <c r="AM112" s="5">
        <f t="shared" si="25"/>
        <v>0</v>
      </c>
      <c r="AN112" s="5">
        <f t="shared" si="26"/>
        <v>174257</v>
      </c>
      <c r="AP112" s="5">
        <v>0</v>
      </c>
      <c r="AR112" s="24"/>
    </row>
    <row r="113" spans="1:44" x14ac:dyDescent="0.25">
      <c r="A113" s="3"/>
      <c r="B113" s="5"/>
      <c r="C113" s="4"/>
      <c r="D113" s="5"/>
      <c r="E113" s="5"/>
      <c r="F113" s="4"/>
      <c r="G113" s="5"/>
      <c r="H113" s="5"/>
      <c r="I113" s="4"/>
      <c r="J113" s="5"/>
      <c r="K113" s="5"/>
      <c r="L113" s="4"/>
      <c r="M113" s="5"/>
      <c r="N113" s="5"/>
      <c r="O113" s="4"/>
      <c r="P113" s="5"/>
      <c r="Q113" s="5"/>
      <c r="R113" s="4"/>
      <c r="S113" s="5"/>
      <c r="T113" s="4"/>
      <c r="U113" s="4"/>
      <c r="V113" s="5"/>
      <c r="W113" s="4"/>
      <c r="X113" s="4"/>
      <c r="Y113" s="5"/>
      <c r="Z113" s="4"/>
      <c r="AA113" s="4"/>
      <c r="AB113" s="5"/>
      <c r="AC113" s="4"/>
      <c r="AD113" s="4"/>
      <c r="AE113" s="5"/>
      <c r="AF113" s="4"/>
      <c r="AG113" s="4"/>
      <c r="AH113" s="5"/>
      <c r="AI113" s="4"/>
      <c r="AJ113" s="4"/>
      <c r="AK113" s="5"/>
      <c r="AL113" s="5"/>
      <c r="AM113" s="5"/>
      <c r="AN113" s="5"/>
      <c r="AP113" s="5"/>
      <c r="AR113" s="24"/>
    </row>
    <row r="114" spans="1:44" x14ac:dyDescent="0.25">
      <c r="A114" s="3" t="s">
        <v>93</v>
      </c>
      <c r="B114" s="4"/>
      <c r="C114" s="4"/>
      <c r="D114" s="5">
        <f t="shared" si="18"/>
        <v>0</v>
      </c>
      <c r="E114" s="4"/>
      <c r="F114" s="4"/>
      <c r="G114" s="5">
        <f t="shared" si="19"/>
        <v>0</v>
      </c>
      <c r="H114" s="4"/>
      <c r="I114" s="4"/>
      <c r="J114" s="5">
        <f t="shared" si="20"/>
        <v>0</v>
      </c>
      <c r="K114" s="4"/>
      <c r="L114" s="4"/>
      <c r="M114" s="5">
        <f t="shared" si="21"/>
        <v>0</v>
      </c>
      <c r="N114" s="4"/>
      <c r="O114" s="4"/>
      <c r="P114" s="5">
        <f t="shared" si="22"/>
        <v>0</v>
      </c>
      <c r="Q114" s="4"/>
      <c r="R114" s="4"/>
      <c r="S114" s="5">
        <f t="shared" si="23"/>
        <v>0</v>
      </c>
      <c r="T114" s="4"/>
      <c r="U114" s="4"/>
      <c r="V114" s="5"/>
      <c r="W114" s="4"/>
      <c r="X114" s="4"/>
      <c r="Y114" s="5"/>
      <c r="Z114" s="4"/>
      <c r="AA114" s="4"/>
      <c r="AB114" s="5"/>
      <c r="AC114" s="4"/>
      <c r="AD114" s="4"/>
      <c r="AE114" s="5"/>
      <c r="AF114" s="4"/>
      <c r="AG114" s="4"/>
      <c r="AH114" s="5"/>
      <c r="AI114" s="4"/>
      <c r="AJ114" s="4"/>
      <c r="AK114" s="5"/>
      <c r="AL114" s="5">
        <f t="shared" si="24"/>
        <v>0</v>
      </c>
      <c r="AM114" s="5">
        <f t="shared" si="25"/>
        <v>0</v>
      </c>
      <c r="AN114" s="5">
        <f t="shared" si="26"/>
        <v>0</v>
      </c>
      <c r="AP114" s="5">
        <v>0</v>
      </c>
      <c r="AR114" s="24"/>
    </row>
    <row r="115" spans="1:44" x14ac:dyDescent="0.25">
      <c r="A115" s="3" t="s">
        <v>94</v>
      </c>
      <c r="B115" s="5">
        <f>2510</f>
        <v>2510</v>
      </c>
      <c r="C115" s="4"/>
      <c r="D115" s="5">
        <f t="shared" si="18"/>
        <v>2510</v>
      </c>
      <c r="E115" s="5">
        <f>6728.6</f>
        <v>6728.6</v>
      </c>
      <c r="F115" s="4"/>
      <c r="G115" s="5">
        <f t="shared" si="19"/>
        <v>6728.6</v>
      </c>
      <c r="H115" s="5">
        <f>3342.5</f>
        <v>3342.5</v>
      </c>
      <c r="I115" s="4"/>
      <c r="J115" s="5">
        <f t="shared" si="20"/>
        <v>3342.5</v>
      </c>
      <c r="K115" s="5">
        <f>506.25</f>
        <v>506.25</v>
      </c>
      <c r="L115" s="4"/>
      <c r="M115" s="5">
        <f t="shared" si="21"/>
        <v>506.25</v>
      </c>
      <c r="N115" s="5">
        <f>2396.84</f>
        <v>2396.84</v>
      </c>
      <c r="O115" s="4"/>
      <c r="P115" s="5">
        <f t="shared" si="22"/>
        <v>2396.84</v>
      </c>
      <c r="Q115" s="5">
        <f>4666.11</f>
        <v>4666.1099999999997</v>
      </c>
      <c r="R115" s="4"/>
      <c r="S115" s="5">
        <f t="shared" si="23"/>
        <v>4666.1099999999997</v>
      </c>
      <c r="T115" s="4"/>
      <c r="U115" s="4"/>
      <c r="V115" s="5"/>
      <c r="W115" s="4"/>
      <c r="X115" s="4"/>
      <c r="Y115" s="5"/>
      <c r="Z115" s="4"/>
      <c r="AA115" s="4"/>
      <c r="AB115" s="5"/>
      <c r="AC115" s="4"/>
      <c r="AD115" s="4"/>
      <c r="AE115" s="5"/>
      <c r="AF115" s="4"/>
      <c r="AG115" s="4"/>
      <c r="AH115" s="5"/>
      <c r="AI115" s="4"/>
      <c r="AJ115" s="4"/>
      <c r="AK115" s="5"/>
      <c r="AL115" s="5">
        <f t="shared" si="24"/>
        <v>20150.3</v>
      </c>
      <c r="AM115" s="5">
        <f t="shared" si="25"/>
        <v>0</v>
      </c>
      <c r="AN115" s="5">
        <f t="shared" si="26"/>
        <v>20150.3</v>
      </c>
      <c r="AP115" s="5">
        <v>0</v>
      </c>
      <c r="AR115" s="24"/>
    </row>
    <row r="116" spans="1:44" x14ac:dyDescent="0.25">
      <c r="A116" s="3" t="s">
        <v>95</v>
      </c>
      <c r="B116" s="6">
        <f>(B114)+(B115)</f>
        <v>2510</v>
      </c>
      <c r="C116" s="6">
        <f>(C114)+(C115)</f>
        <v>0</v>
      </c>
      <c r="D116" s="6">
        <f t="shared" si="18"/>
        <v>2510</v>
      </c>
      <c r="E116" s="6">
        <f>(E114)+(E115)</f>
        <v>6728.6</v>
      </c>
      <c r="F116" s="6">
        <f>(F114)+(F115)</f>
        <v>0</v>
      </c>
      <c r="G116" s="6">
        <f t="shared" si="19"/>
        <v>6728.6</v>
      </c>
      <c r="H116" s="6">
        <f>(H114)+(H115)</f>
        <v>3342.5</v>
      </c>
      <c r="I116" s="6">
        <f>(I114)+(I115)</f>
        <v>0</v>
      </c>
      <c r="J116" s="6">
        <f t="shared" si="20"/>
        <v>3342.5</v>
      </c>
      <c r="K116" s="6">
        <f>(K114)+(K115)</f>
        <v>506.25</v>
      </c>
      <c r="L116" s="6">
        <f>(L114)+(L115)</f>
        <v>0</v>
      </c>
      <c r="M116" s="6">
        <f t="shared" si="21"/>
        <v>506.25</v>
      </c>
      <c r="N116" s="6">
        <f>(N114)+(N115)</f>
        <v>2396.84</v>
      </c>
      <c r="O116" s="6">
        <f>(O114)+(O115)</f>
        <v>0</v>
      </c>
      <c r="P116" s="6">
        <f t="shared" si="22"/>
        <v>2396.84</v>
      </c>
      <c r="Q116" s="6">
        <f>(Q114)+(Q115)</f>
        <v>4666.1099999999997</v>
      </c>
      <c r="R116" s="6">
        <f>(R114)+(R115)</f>
        <v>0</v>
      </c>
      <c r="S116" s="6">
        <f t="shared" si="23"/>
        <v>4666.1099999999997</v>
      </c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>
        <f t="shared" si="24"/>
        <v>20150.3</v>
      </c>
      <c r="AM116" s="6">
        <f t="shared" si="25"/>
        <v>0</v>
      </c>
      <c r="AN116" s="6">
        <f t="shared" si="26"/>
        <v>20150.3</v>
      </c>
      <c r="AP116" s="6">
        <v>0</v>
      </c>
      <c r="AR116" s="24"/>
    </row>
    <row r="117" spans="1:44" x14ac:dyDescent="0.25">
      <c r="A117" s="3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P117" s="7"/>
      <c r="AR117" s="24"/>
    </row>
    <row r="118" spans="1:44" x14ac:dyDescent="0.25">
      <c r="A118" s="17" t="s">
        <v>122</v>
      </c>
      <c r="B118" s="6">
        <f>((B110)+(B112))+(B116)</f>
        <v>204082.28999999998</v>
      </c>
      <c r="C118" s="6">
        <f>((C110)+(C112))+(C116)</f>
        <v>0</v>
      </c>
      <c r="D118" s="6">
        <f t="shared" si="18"/>
        <v>204082.28999999998</v>
      </c>
      <c r="E118" s="6">
        <f>((E110)+(E112))+(E116)</f>
        <v>-84544.829999999987</v>
      </c>
      <c r="F118" s="6">
        <f>((F110)+(F112))+(F116)</f>
        <v>0</v>
      </c>
      <c r="G118" s="6">
        <f t="shared" si="19"/>
        <v>-84544.829999999987</v>
      </c>
      <c r="H118" s="6">
        <f>((H110)+(H112))+(H116)</f>
        <v>-25661.17</v>
      </c>
      <c r="I118" s="6">
        <f>((I110)+(I112))+(I116)</f>
        <v>0</v>
      </c>
      <c r="J118" s="6">
        <f t="shared" si="20"/>
        <v>-25661.17</v>
      </c>
      <c r="K118" s="6">
        <f>((K110)+(K112))+(K116)</f>
        <v>17832.32</v>
      </c>
      <c r="L118" s="6">
        <f>((L110)+(L112))+(L116)</f>
        <v>0</v>
      </c>
      <c r="M118" s="6">
        <f t="shared" si="21"/>
        <v>17832.32</v>
      </c>
      <c r="N118" s="6">
        <f>((N110)+(N112))+(N116)</f>
        <v>50319.270000000004</v>
      </c>
      <c r="O118" s="6">
        <f>((O110)+(O112))+(O116)</f>
        <v>0</v>
      </c>
      <c r="P118" s="6">
        <f t="shared" si="22"/>
        <v>50319.270000000004</v>
      </c>
      <c r="Q118" s="6">
        <f>((Q110)+(Q112))+(Q116)</f>
        <v>46126.86</v>
      </c>
      <c r="R118" s="6">
        <f>((R110)+(R112))+(R116)</f>
        <v>0</v>
      </c>
      <c r="S118" s="6">
        <f t="shared" si="23"/>
        <v>46126.86</v>
      </c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>
        <f t="shared" si="24"/>
        <v>208154.74</v>
      </c>
      <c r="AM118" s="6">
        <f t="shared" si="25"/>
        <v>0</v>
      </c>
      <c r="AN118" s="6">
        <f t="shared" si="26"/>
        <v>208154.74</v>
      </c>
      <c r="AP118" s="6">
        <v>0</v>
      </c>
      <c r="AR118" s="24"/>
    </row>
    <row r="119" spans="1:44" x14ac:dyDescent="0.25">
      <c r="A119" s="3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P119" s="18"/>
      <c r="AR119" s="24"/>
    </row>
    <row r="120" spans="1:44" x14ac:dyDescent="0.25">
      <c r="A120" s="3" t="s">
        <v>96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P120" s="4"/>
      <c r="AR120" s="24"/>
    </row>
    <row r="121" spans="1:44" x14ac:dyDescent="0.25">
      <c r="A121" s="3" t="s">
        <v>97</v>
      </c>
      <c r="B121" s="4"/>
      <c r="C121" s="4"/>
      <c r="D121" s="5">
        <f t="shared" ref="D121:D143" si="27">(B121)-(C121)</f>
        <v>0</v>
      </c>
      <c r="E121" s="4"/>
      <c r="F121" s="4"/>
      <c r="G121" s="5">
        <f t="shared" ref="G121:G143" si="28">(E121)-(F121)</f>
        <v>0</v>
      </c>
      <c r="H121" s="4"/>
      <c r="I121" s="4"/>
      <c r="J121" s="5">
        <f t="shared" ref="J121:J143" si="29">(H121)-(I121)</f>
        <v>0</v>
      </c>
      <c r="K121" s="4"/>
      <c r="L121" s="4"/>
      <c r="M121" s="5">
        <f t="shared" ref="M121:M143" si="30">(K121)-(L121)</f>
        <v>0</v>
      </c>
      <c r="N121" s="4"/>
      <c r="O121" s="4"/>
      <c r="P121" s="5">
        <f t="shared" ref="P121:P143" si="31">(N121)-(O121)</f>
        <v>0</v>
      </c>
      <c r="Q121" s="4"/>
      <c r="R121" s="4"/>
      <c r="S121" s="5">
        <f t="shared" ref="S121:S143" si="32">(Q121)-(R121)</f>
        <v>0</v>
      </c>
      <c r="T121" s="4"/>
      <c r="U121" s="4"/>
      <c r="V121" s="5"/>
      <c r="W121" s="4"/>
      <c r="X121" s="4"/>
      <c r="Y121" s="5"/>
      <c r="Z121" s="4"/>
      <c r="AA121" s="4"/>
      <c r="AB121" s="5"/>
      <c r="AC121" s="4"/>
      <c r="AD121" s="4"/>
      <c r="AE121" s="5"/>
      <c r="AF121" s="4"/>
      <c r="AG121" s="4"/>
      <c r="AH121" s="5"/>
      <c r="AI121" s="4"/>
      <c r="AJ121" s="4"/>
      <c r="AK121" s="5"/>
      <c r="AL121" s="5">
        <f t="shared" ref="AL121:AL143" si="33">(((((((((((B121)+(E121))+(H121))+(K121))+(N121))+(Q121))+(T121))+(W121))+(Z121))+(AC121))+(AF121))+(AI121)</f>
        <v>0</v>
      </c>
      <c r="AM121" s="5">
        <f t="shared" ref="AM121:AM143" si="34">(((((((((((C121)+(F121))+(I121))+(L121))+(O121))+(R121))+(U121))+(X121))+(AA121))+(AD121))+(AG121))+(AJ121)</f>
        <v>0</v>
      </c>
      <c r="AN121" s="5">
        <f t="shared" ref="AN121:AN143" si="35">(AL121)-(AM121)</f>
        <v>0</v>
      </c>
      <c r="AP121" s="5">
        <v>0</v>
      </c>
      <c r="AR121" s="24" t="s">
        <v>130</v>
      </c>
    </row>
    <row r="122" spans="1:44" x14ac:dyDescent="0.25">
      <c r="A122" s="3" t="s">
        <v>98</v>
      </c>
      <c r="B122" s="5">
        <f>4926.68</f>
        <v>4926.68</v>
      </c>
      <c r="C122" s="4"/>
      <c r="D122" s="5">
        <f t="shared" si="27"/>
        <v>4926.68</v>
      </c>
      <c r="E122" s="5">
        <f>0</f>
        <v>0</v>
      </c>
      <c r="F122" s="4"/>
      <c r="G122" s="5">
        <f t="shared" si="28"/>
        <v>0</v>
      </c>
      <c r="H122" s="5">
        <f>0</f>
        <v>0</v>
      </c>
      <c r="I122" s="4"/>
      <c r="J122" s="5">
        <f t="shared" si="29"/>
        <v>0</v>
      </c>
      <c r="K122" s="5">
        <f>4982.63</f>
        <v>4982.63</v>
      </c>
      <c r="L122" s="4"/>
      <c r="M122" s="5">
        <f t="shared" si="30"/>
        <v>4982.63</v>
      </c>
      <c r="N122" s="5">
        <f>0</f>
        <v>0</v>
      </c>
      <c r="O122" s="4"/>
      <c r="P122" s="5">
        <f t="shared" si="31"/>
        <v>0</v>
      </c>
      <c r="Q122" s="5">
        <f>0</f>
        <v>0</v>
      </c>
      <c r="R122" s="4"/>
      <c r="S122" s="5">
        <f t="shared" si="32"/>
        <v>0</v>
      </c>
      <c r="T122" s="4"/>
      <c r="U122" s="4"/>
      <c r="V122" s="5"/>
      <c r="W122" s="4"/>
      <c r="X122" s="4"/>
      <c r="Y122" s="5"/>
      <c r="Z122" s="4"/>
      <c r="AA122" s="4"/>
      <c r="AB122" s="5"/>
      <c r="AC122" s="4"/>
      <c r="AD122" s="4"/>
      <c r="AE122" s="5"/>
      <c r="AF122" s="4"/>
      <c r="AG122" s="4"/>
      <c r="AH122" s="5"/>
      <c r="AI122" s="4"/>
      <c r="AJ122" s="4"/>
      <c r="AK122" s="5"/>
      <c r="AL122" s="5">
        <f t="shared" si="33"/>
        <v>9909.3100000000013</v>
      </c>
      <c r="AM122" s="5">
        <f t="shared" si="34"/>
        <v>0</v>
      </c>
      <c r="AN122" s="5">
        <f t="shared" si="35"/>
        <v>9909.3100000000013</v>
      </c>
      <c r="AP122" s="5">
        <v>0</v>
      </c>
      <c r="AR122" s="24" t="s">
        <v>131</v>
      </c>
    </row>
    <row r="123" spans="1:44" x14ac:dyDescent="0.25">
      <c r="A123" s="3" t="s">
        <v>99</v>
      </c>
      <c r="B123" s="5">
        <f>11374</f>
        <v>11374</v>
      </c>
      <c r="C123" s="4"/>
      <c r="D123" s="5">
        <f t="shared" si="27"/>
        <v>11374</v>
      </c>
      <c r="E123" s="5">
        <f>11374</f>
        <v>11374</v>
      </c>
      <c r="F123" s="4"/>
      <c r="G123" s="5">
        <f t="shared" si="28"/>
        <v>11374</v>
      </c>
      <c r="H123" s="5">
        <f>22748</f>
        <v>22748</v>
      </c>
      <c r="I123" s="4"/>
      <c r="J123" s="5">
        <f t="shared" si="29"/>
        <v>22748</v>
      </c>
      <c r="K123" s="5">
        <f>0</f>
        <v>0</v>
      </c>
      <c r="L123" s="4"/>
      <c r="M123" s="5">
        <f t="shared" si="30"/>
        <v>0</v>
      </c>
      <c r="N123" s="5">
        <f>11374</f>
        <v>11374</v>
      </c>
      <c r="O123" s="4"/>
      <c r="P123" s="5">
        <f t="shared" si="31"/>
        <v>11374</v>
      </c>
      <c r="Q123" s="5">
        <f>22748</f>
        <v>22748</v>
      </c>
      <c r="R123" s="4"/>
      <c r="S123" s="5">
        <f t="shared" si="32"/>
        <v>22748</v>
      </c>
      <c r="T123" s="4"/>
      <c r="U123" s="4"/>
      <c r="V123" s="5"/>
      <c r="W123" s="4"/>
      <c r="X123" s="4"/>
      <c r="Y123" s="5"/>
      <c r="Z123" s="4"/>
      <c r="AA123" s="4"/>
      <c r="AB123" s="5"/>
      <c r="AC123" s="4"/>
      <c r="AD123" s="4"/>
      <c r="AE123" s="5"/>
      <c r="AF123" s="4"/>
      <c r="AG123" s="4"/>
      <c r="AH123" s="5"/>
      <c r="AI123" s="4"/>
      <c r="AJ123" s="4"/>
      <c r="AK123" s="5"/>
      <c r="AL123" s="5">
        <f t="shared" si="33"/>
        <v>79618</v>
      </c>
      <c r="AM123" s="5">
        <f t="shared" si="34"/>
        <v>0</v>
      </c>
      <c r="AN123" s="5">
        <f t="shared" si="35"/>
        <v>79618</v>
      </c>
      <c r="AP123" s="5">
        <v>0</v>
      </c>
      <c r="AR123" s="24" t="s">
        <v>132</v>
      </c>
    </row>
    <row r="124" spans="1:44" x14ac:dyDescent="0.25">
      <c r="A124" s="3" t="s">
        <v>100</v>
      </c>
      <c r="B124" s="6">
        <f>((B121)+(B122))+(B123)</f>
        <v>16300.68</v>
      </c>
      <c r="C124" s="6">
        <f>((C121)+(C122))+(C123)</f>
        <v>0</v>
      </c>
      <c r="D124" s="6">
        <f t="shared" si="27"/>
        <v>16300.68</v>
      </c>
      <c r="E124" s="6">
        <f>((E121)+(E122))+(E123)</f>
        <v>11374</v>
      </c>
      <c r="F124" s="6">
        <f>((F121)+(F122))+(F123)</f>
        <v>0</v>
      </c>
      <c r="G124" s="6">
        <f t="shared" si="28"/>
        <v>11374</v>
      </c>
      <c r="H124" s="6">
        <f>((H121)+(H122))+(H123)</f>
        <v>22748</v>
      </c>
      <c r="I124" s="6">
        <f>((I121)+(I122))+(I123)</f>
        <v>0</v>
      </c>
      <c r="J124" s="6">
        <f t="shared" si="29"/>
        <v>22748</v>
      </c>
      <c r="K124" s="6">
        <f>((K121)+(K122))+(K123)</f>
        <v>4982.63</v>
      </c>
      <c r="L124" s="6">
        <f>((L121)+(L122))+(L123)</f>
        <v>0</v>
      </c>
      <c r="M124" s="6">
        <f t="shared" si="30"/>
        <v>4982.63</v>
      </c>
      <c r="N124" s="6">
        <f>((N121)+(N122))+(N123)</f>
        <v>11374</v>
      </c>
      <c r="O124" s="6">
        <f>((O121)+(O122))+(O123)</f>
        <v>0</v>
      </c>
      <c r="P124" s="6">
        <f t="shared" si="31"/>
        <v>11374</v>
      </c>
      <c r="Q124" s="6">
        <f>((Q121)+(Q122))+(Q123)</f>
        <v>22748</v>
      </c>
      <c r="R124" s="6">
        <f>((R121)+(R122))+(R123)</f>
        <v>0</v>
      </c>
      <c r="S124" s="6">
        <f t="shared" si="32"/>
        <v>22748</v>
      </c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>
        <f t="shared" si="33"/>
        <v>89527.31</v>
      </c>
      <c r="AM124" s="6">
        <f t="shared" si="34"/>
        <v>0</v>
      </c>
      <c r="AN124" s="6">
        <f t="shared" si="35"/>
        <v>89527.31</v>
      </c>
      <c r="AP124" s="6">
        <v>0</v>
      </c>
      <c r="AR124" s="24"/>
    </row>
    <row r="125" spans="1:44" x14ac:dyDescent="0.25">
      <c r="A125" s="3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P125" s="18"/>
      <c r="AR125" s="24"/>
    </row>
    <row r="126" spans="1:44" x14ac:dyDescent="0.25">
      <c r="A126" s="3" t="s">
        <v>101</v>
      </c>
      <c r="B126" s="4"/>
      <c r="C126" s="4"/>
      <c r="D126" s="5">
        <f t="shared" si="27"/>
        <v>0</v>
      </c>
      <c r="E126" s="4"/>
      <c r="F126" s="4"/>
      <c r="G126" s="5">
        <f t="shared" si="28"/>
        <v>0</v>
      </c>
      <c r="H126" s="4"/>
      <c r="I126" s="4"/>
      <c r="J126" s="5">
        <f t="shared" si="29"/>
        <v>0</v>
      </c>
      <c r="K126" s="4"/>
      <c r="L126" s="4"/>
      <c r="M126" s="5">
        <f t="shared" si="30"/>
        <v>0</v>
      </c>
      <c r="N126" s="4"/>
      <c r="O126" s="4"/>
      <c r="P126" s="5">
        <f t="shared" si="31"/>
        <v>0</v>
      </c>
      <c r="Q126" s="4"/>
      <c r="R126" s="4"/>
      <c r="S126" s="5">
        <f t="shared" si="32"/>
        <v>0</v>
      </c>
      <c r="T126" s="4"/>
      <c r="U126" s="4"/>
      <c r="V126" s="5"/>
      <c r="W126" s="4"/>
      <c r="X126" s="4"/>
      <c r="Y126" s="5"/>
      <c r="Z126" s="4"/>
      <c r="AA126" s="4"/>
      <c r="AB126" s="5"/>
      <c r="AC126" s="4"/>
      <c r="AD126" s="4"/>
      <c r="AE126" s="5"/>
      <c r="AF126" s="4"/>
      <c r="AG126" s="4"/>
      <c r="AH126" s="5"/>
      <c r="AI126" s="4"/>
      <c r="AJ126" s="4"/>
      <c r="AK126" s="5"/>
      <c r="AL126" s="5">
        <f t="shared" si="33"/>
        <v>0</v>
      </c>
      <c r="AM126" s="5">
        <f t="shared" si="34"/>
        <v>0</v>
      </c>
      <c r="AN126" s="5">
        <f t="shared" si="35"/>
        <v>0</v>
      </c>
      <c r="AP126" s="5">
        <v>0</v>
      </c>
      <c r="AR126" s="24"/>
    </row>
    <row r="127" spans="1:44" x14ac:dyDescent="0.25">
      <c r="A127" s="3" t="s">
        <v>102</v>
      </c>
      <c r="B127" s="4"/>
      <c r="C127" s="4"/>
      <c r="D127" s="5">
        <f t="shared" si="27"/>
        <v>0</v>
      </c>
      <c r="E127" s="4"/>
      <c r="F127" s="4"/>
      <c r="G127" s="5">
        <f t="shared" si="28"/>
        <v>0</v>
      </c>
      <c r="H127" s="5">
        <f>100</f>
        <v>100</v>
      </c>
      <c r="I127" s="4"/>
      <c r="J127" s="5">
        <f t="shared" si="29"/>
        <v>100</v>
      </c>
      <c r="K127" s="5">
        <f>4050</f>
        <v>4050</v>
      </c>
      <c r="L127" s="4"/>
      <c r="M127" s="5">
        <f t="shared" si="30"/>
        <v>4050</v>
      </c>
      <c r="N127" s="5">
        <f>250</f>
        <v>250</v>
      </c>
      <c r="O127" s="4"/>
      <c r="P127" s="5">
        <f t="shared" si="31"/>
        <v>250</v>
      </c>
      <c r="Q127" s="5">
        <f>50000</f>
        <v>50000</v>
      </c>
      <c r="R127" s="4"/>
      <c r="S127" s="5">
        <f t="shared" si="32"/>
        <v>50000</v>
      </c>
      <c r="T127" s="4"/>
      <c r="U127" s="4"/>
      <c r="V127" s="5"/>
      <c r="W127" s="4"/>
      <c r="X127" s="4"/>
      <c r="Y127" s="5"/>
      <c r="Z127" s="4"/>
      <c r="AA127" s="4"/>
      <c r="AB127" s="5"/>
      <c r="AC127" s="4"/>
      <c r="AD127" s="4"/>
      <c r="AE127" s="5"/>
      <c r="AF127" s="4"/>
      <c r="AG127" s="4"/>
      <c r="AH127" s="5"/>
      <c r="AI127" s="4"/>
      <c r="AJ127" s="4"/>
      <c r="AK127" s="5"/>
      <c r="AL127" s="5">
        <f t="shared" si="33"/>
        <v>54400</v>
      </c>
      <c r="AM127" s="5">
        <f t="shared" si="34"/>
        <v>0</v>
      </c>
      <c r="AN127" s="5">
        <f t="shared" si="35"/>
        <v>54400</v>
      </c>
      <c r="AP127" s="5">
        <v>0</v>
      </c>
      <c r="AR127" s="24"/>
    </row>
    <row r="128" spans="1:44" x14ac:dyDescent="0.25">
      <c r="A128" s="3" t="s">
        <v>103</v>
      </c>
      <c r="B128" s="5">
        <f>105321</f>
        <v>105321</v>
      </c>
      <c r="C128" s="4"/>
      <c r="D128" s="5">
        <f t="shared" si="27"/>
        <v>105321</v>
      </c>
      <c r="E128" s="5">
        <f>164</f>
        <v>164</v>
      </c>
      <c r="F128" s="4"/>
      <c r="G128" s="5">
        <f t="shared" si="28"/>
        <v>164</v>
      </c>
      <c r="H128" s="5">
        <f>5414</f>
        <v>5414</v>
      </c>
      <c r="I128" s="4"/>
      <c r="J128" s="5">
        <f t="shared" si="29"/>
        <v>5414</v>
      </c>
      <c r="K128" s="5">
        <f>5814</f>
        <v>5814</v>
      </c>
      <c r="L128" s="4"/>
      <c r="M128" s="5">
        <f t="shared" si="30"/>
        <v>5814</v>
      </c>
      <c r="N128" s="5">
        <f>1430</f>
        <v>1430</v>
      </c>
      <c r="O128" s="4"/>
      <c r="P128" s="5">
        <f t="shared" si="31"/>
        <v>1430</v>
      </c>
      <c r="Q128" s="5">
        <f>1714</f>
        <v>1714</v>
      </c>
      <c r="R128" s="4"/>
      <c r="S128" s="5">
        <f t="shared" si="32"/>
        <v>1714</v>
      </c>
      <c r="T128" s="4"/>
      <c r="U128" s="4"/>
      <c r="V128" s="5"/>
      <c r="W128" s="4"/>
      <c r="X128" s="4"/>
      <c r="Y128" s="5"/>
      <c r="Z128" s="4"/>
      <c r="AA128" s="4"/>
      <c r="AB128" s="5"/>
      <c r="AC128" s="4"/>
      <c r="AD128" s="4"/>
      <c r="AE128" s="5"/>
      <c r="AF128" s="4"/>
      <c r="AG128" s="4"/>
      <c r="AH128" s="5"/>
      <c r="AI128" s="4"/>
      <c r="AJ128" s="4"/>
      <c r="AK128" s="5"/>
      <c r="AL128" s="5">
        <f t="shared" si="33"/>
        <v>119857</v>
      </c>
      <c r="AM128" s="5">
        <f t="shared" si="34"/>
        <v>0</v>
      </c>
      <c r="AN128" s="5">
        <f t="shared" si="35"/>
        <v>119857</v>
      </c>
      <c r="AP128" s="5">
        <v>0</v>
      </c>
      <c r="AR128" s="24"/>
    </row>
    <row r="129" spans="1:44" x14ac:dyDescent="0.25">
      <c r="A129" s="3" t="s">
        <v>104</v>
      </c>
      <c r="B129" s="6">
        <f>((B126)+(B127))+(B128)</f>
        <v>105321</v>
      </c>
      <c r="C129" s="6">
        <f>((C126)+(C127))+(C128)</f>
        <v>0</v>
      </c>
      <c r="D129" s="6">
        <f t="shared" si="27"/>
        <v>105321</v>
      </c>
      <c r="E129" s="6">
        <f>((E126)+(E127))+(E128)</f>
        <v>164</v>
      </c>
      <c r="F129" s="6">
        <f>((F126)+(F127))+(F128)</f>
        <v>0</v>
      </c>
      <c r="G129" s="6">
        <f t="shared" si="28"/>
        <v>164</v>
      </c>
      <c r="H129" s="6">
        <f>((H126)+(H127))+(H128)</f>
        <v>5514</v>
      </c>
      <c r="I129" s="6">
        <f>((I126)+(I127))+(I128)</f>
        <v>0</v>
      </c>
      <c r="J129" s="6">
        <f t="shared" si="29"/>
        <v>5514</v>
      </c>
      <c r="K129" s="6">
        <f>((K126)+(K127))+(K128)</f>
        <v>9864</v>
      </c>
      <c r="L129" s="6">
        <f>((L126)+(L127))+(L128)</f>
        <v>0</v>
      </c>
      <c r="M129" s="6">
        <f t="shared" si="30"/>
        <v>9864</v>
      </c>
      <c r="N129" s="6">
        <f>((N126)+(N127))+(N128)</f>
        <v>1680</v>
      </c>
      <c r="O129" s="6">
        <f>((O126)+(O127))+(O128)</f>
        <v>0</v>
      </c>
      <c r="P129" s="6">
        <f t="shared" si="31"/>
        <v>1680</v>
      </c>
      <c r="Q129" s="6">
        <f>((Q126)+(Q127))+(Q128)</f>
        <v>51714</v>
      </c>
      <c r="R129" s="6">
        <f>((R126)+(R127))+(R128)</f>
        <v>0</v>
      </c>
      <c r="S129" s="6">
        <f t="shared" si="32"/>
        <v>51714</v>
      </c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>
        <f t="shared" si="33"/>
        <v>174257</v>
      </c>
      <c r="AM129" s="6">
        <f t="shared" si="34"/>
        <v>0</v>
      </c>
      <c r="AN129" s="6">
        <f t="shared" si="35"/>
        <v>174257</v>
      </c>
      <c r="AP129" s="6">
        <v>0</v>
      </c>
      <c r="AR129" s="24"/>
    </row>
    <row r="130" spans="1:44" x14ac:dyDescent="0.25">
      <c r="A130" s="3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P130" s="18"/>
      <c r="AR130" s="24"/>
    </row>
    <row r="131" spans="1:44" x14ac:dyDescent="0.25">
      <c r="A131" s="3" t="s">
        <v>105</v>
      </c>
      <c r="B131" s="4"/>
      <c r="C131" s="4"/>
      <c r="D131" s="5">
        <f t="shared" si="27"/>
        <v>0</v>
      </c>
      <c r="E131" s="4"/>
      <c r="F131" s="4"/>
      <c r="G131" s="5">
        <f t="shared" si="28"/>
        <v>0</v>
      </c>
      <c r="H131" s="4"/>
      <c r="I131" s="4"/>
      <c r="J131" s="5">
        <f t="shared" si="29"/>
        <v>0</v>
      </c>
      <c r="K131" s="4"/>
      <c r="L131" s="4"/>
      <c r="M131" s="5">
        <f t="shared" si="30"/>
        <v>0</v>
      </c>
      <c r="N131" s="4"/>
      <c r="O131" s="4"/>
      <c r="P131" s="5">
        <f t="shared" si="31"/>
        <v>0</v>
      </c>
      <c r="Q131" s="4"/>
      <c r="R131" s="4"/>
      <c r="S131" s="5">
        <f t="shared" si="32"/>
        <v>0</v>
      </c>
      <c r="T131" s="4"/>
      <c r="U131" s="4"/>
      <c r="V131" s="5"/>
      <c r="W131" s="4"/>
      <c r="X131" s="4"/>
      <c r="Y131" s="5"/>
      <c r="Z131" s="4"/>
      <c r="AA131" s="4"/>
      <c r="AB131" s="5"/>
      <c r="AC131" s="4"/>
      <c r="AD131" s="4"/>
      <c r="AE131" s="5"/>
      <c r="AF131" s="4"/>
      <c r="AG131" s="4"/>
      <c r="AH131" s="5"/>
      <c r="AI131" s="4"/>
      <c r="AJ131" s="4"/>
      <c r="AK131" s="5"/>
      <c r="AL131" s="5">
        <f t="shared" si="33"/>
        <v>0</v>
      </c>
      <c r="AM131" s="5">
        <f t="shared" si="34"/>
        <v>0</v>
      </c>
      <c r="AN131" s="5">
        <f t="shared" si="35"/>
        <v>0</v>
      </c>
      <c r="AP131" s="5">
        <v>0</v>
      </c>
      <c r="AR131" s="24"/>
    </row>
    <row r="132" spans="1:44" x14ac:dyDescent="0.25">
      <c r="A132" s="3" t="s">
        <v>106</v>
      </c>
      <c r="B132" s="4"/>
      <c r="C132" s="4"/>
      <c r="D132" s="5">
        <f t="shared" si="27"/>
        <v>0</v>
      </c>
      <c r="E132" s="5">
        <f>5615</f>
        <v>5615</v>
      </c>
      <c r="F132" s="4"/>
      <c r="G132" s="5">
        <f t="shared" si="28"/>
        <v>5615</v>
      </c>
      <c r="H132" s="5">
        <f>2592.5</f>
        <v>2592.5</v>
      </c>
      <c r="I132" s="4"/>
      <c r="J132" s="5">
        <f t="shared" si="29"/>
        <v>2592.5</v>
      </c>
      <c r="K132" s="5">
        <f>506.25</f>
        <v>506.25</v>
      </c>
      <c r="L132" s="4"/>
      <c r="M132" s="5">
        <f t="shared" si="30"/>
        <v>506.25</v>
      </c>
      <c r="N132" s="5">
        <f>2250</f>
        <v>2250</v>
      </c>
      <c r="O132" s="4"/>
      <c r="P132" s="5">
        <f t="shared" si="31"/>
        <v>2250</v>
      </c>
      <c r="Q132" s="5">
        <f>3727.66</f>
        <v>3727.66</v>
      </c>
      <c r="R132" s="4"/>
      <c r="S132" s="5">
        <f t="shared" si="32"/>
        <v>3727.66</v>
      </c>
      <c r="T132" s="4"/>
      <c r="U132" s="4"/>
      <c r="V132" s="5"/>
      <c r="W132" s="4"/>
      <c r="X132" s="4"/>
      <c r="Y132" s="5"/>
      <c r="Z132" s="4"/>
      <c r="AA132" s="4"/>
      <c r="AB132" s="5"/>
      <c r="AC132" s="4"/>
      <c r="AD132" s="4"/>
      <c r="AE132" s="5"/>
      <c r="AF132" s="4"/>
      <c r="AG132" s="4"/>
      <c r="AH132" s="5"/>
      <c r="AI132" s="4"/>
      <c r="AJ132" s="4"/>
      <c r="AK132" s="5"/>
      <c r="AL132" s="5">
        <f t="shared" si="33"/>
        <v>14691.41</v>
      </c>
      <c r="AM132" s="5">
        <f t="shared" si="34"/>
        <v>0</v>
      </c>
      <c r="AN132" s="5">
        <f t="shared" si="35"/>
        <v>14691.41</v>
      </c>
      <c r="AP132" s="5">
        <v>0</v>
      </c>
      <c r="AR132" s="24"/>
    </row>
    <row r="133" spans="1:44" x14ac:dyDescent="0.25">
      <c r="A133" s="3" t="s">
        <v>107</v>
      </c>
      <c r="B133" s="4"/>
      <c r="C133" s="4"/>
      <c r="D133" s="5">
        <f t="shared" si="27"/>
        <v>0</v>
      </c>
      <c r="E133" s="4"/>
      <c r="F133" s="4"/>
      <c r="G133" s="5">
        <f t="shared" si="28"/>
        <v>0</v>
      </c>
      <c r="H133" s="4"/>
      <c r="I133" s="4"/>
      <c r="J133" s="5">
        <f t="shared" si="29"/>
        <v>0</v>
      </c>
      <c r="K133" s="4"/>
      <c r="L133" s="4"/>
      <c r="M133" s="5">
        <f t="shared" si="30"/>
        <v>0</v>
      </c>
      <c r="N133" s="4"/>
      <c r="O133" s="4"/>
      <c r="P133" s="5">
        <f t="shared" si="31"/>
        <v>0</v>
      </c>
      <c r="Q133" s="5">
        <f>900</f>
        <v>900</v>
      </c>
      <c r="R133" s="4"/>
      <c r="S133" s="5">
        <f t="shared" si="32"/>
        <v>900</v>
      </c>
      <c r="T133" s="4"/>
      <c r="U133" s="4"/>
      <c r="V133" s="5"/>
      <c r="W133" s="4"/>
      <c r="X133" s="4"/>
      <c r="Y133" s="5"/>
      <c r="Z133" s="4"/>
      <c r="AA133" s="4"/>
      <c r="AB133" s="5"/>
      <c r="AC133" s="4"/>
      <c r="AD133" s="4"/>
      <c r="AE133" s="5"/>
      <c r="AF133" s="4"/>
      <c r="AG133" s="4"/>
      <c r="AH133" s="5"/>
      <c r="AI133" s="4"/>
      <c r="AJ133" s="4"/>
      <c r="AK133" s="5"/>
      <c r="AL133" s="5">
        <f t="shared" si="33"/>
        <v>900</v>
      </c>
      <c r="AM133" s="5">
        <f t="shared" si="34"/>
        <v>0</v>
      </c>
      <c r="AN133" s="5">
        <f t="shared" si="35"/>
        <v>900</v>
      </c>
      <c r="AP133" s="5">
        <v>0</v>
      </c>
      <c r="AR133" s="24"/>
    </row>
    <row r="134" spans="1:44" x14ac:dyDescent="0.25">
      <c r="A134" s="3" t="s">
        <v>108</v>
      </c>
      <c r="B134" s="4"/>
      <c r="C134" s="4"/>
      <c r="D134" s="5">
        <f t="shared" si="27"/>
        <v>0</v>
      </c>
      <c r="E134" s="5">
        <f>363.6</f>
        <v>363.6</v>
      </c>
      <c r="F134" s="4"/>
      <c r="G134" s="5">
        <f t="shared" si="28"/>
        <v>363.6</v>
      </c>
      <c r="H134" s="4"/>
      <c r="I134" s="4"/>
      <c r="J134" s="5">
        <f t="shared" si="29"/>
        <v>0</v>
      </c>
      <c r="K134" s="4"/>
      <c r="L134" s="4"/>
      <c r="M134" s="5">
        <f t="shared" si="30"/>
        <v>0</v>
      </c>
      <c r="N134" s="5">
        <f>94.48</f>
        <v>94.48</v>
      </c>
      <c r="O134" s="4"/>
      <c r="P134" s="5">
        <f t="shared" si="31"/>
        <v>94.48</v>
      </c>
      <c r="Q134" s="5">
        <f>38.45</f>
        <v>38.450000000000003</v>
      </c>
      <c r="R134" s="4"/>
      <c r="S134" s="5">
        <f t="shared" si="32"/>
        <v>38.450000000000003</v>
      </c>
      <c r="T134" s="4"/>
      <c r="U134" s="4"/>
      <c r="V134" s="5"/>
      <c r="W134" s="4"/>
      <c r="X134" s="4"/>
      <c r="Y134" s="5"/>
      <c r="Z134" s="4"/>
      <c r="AA134" s="4"/>
      <c r="AB134" s="5"/>
      <c r="AC134" s="4"/>
      <c r="AD134" s="4"/>
      <c r="AE134" s="5"/>
      <c r="AF134" s="4"/>
      <c r="AG134" s="4"/>
      <c r="AH134" s="5"/>
      <c r="AI134" s="4"/>
      <c r="AJ134" s="4"/>
      <c r="AK134" s="5"/>
      <c r="AL134" s="5">
        <f t="shared" si="33"/>
        <v>496.53000000000003</v>
      </c>
      <c r="AM134" s="5">
        <f t="shared" si="34"/>
        <v>0</v>
      </c>
      <c r="AN134" s="5">
        <f t="shared" si="35"/>
        <v>496.53000000000003</v>
      </c>
      <c r="AP134" s="5">
        <v>0</v>
      </c>
      <c r="AR134" s="24"/>
    </row>
    <row r="135" spans="1:44" x14ac:dyDescent="0.25">
      <c r="A135" s="3" t="s">
        <v>109</v>
      </c>
      <c r="B135" s="5">
        <f>2510</f>
        <v>2510</v>
      </c>
      <c r="C135" s="4"/>
      <c r="D135" s="5">
        <f t="shared" si="27"/>
        <v>2510</v>
      </c>
      <c r="E135" s="5">
        <f>750</f>
        <v>750</v>
      </c>
      <c r="F135" s="4"/>
      <c r="G135" s="5">
        <f t="shared" si="28"/>
        <v>750</v>
      </c>
      <c r="H135" s="5">
        <f>750</f>
        <v>750</v>
      </c>
      <c r="I135" s="4"/>
      <c r="J135" s="5">
        <f t="shared" si="29"/>
        <v>750</v>
      </c>
      <c r="K135" s="4"/>
      <c r="L135" s="4"/>
      <c r="M135" s="5">
        <f t="shared" si="30"/>
        <v>0</v>
      </c>
      <c r="N135" s="4"/>
      <c r="O135" s="4"/>
      <c r="P135" s="5">
        <f t="shared" si="31"/>
        <v>0</v>
      </c>
      <c r="Q135" s="4"/>
      <c r="R135" s="4"/>
      <c r="S135" s="5">
        <f t="shared" si="32"/>
        <v>0</v>
      </c>
      <c r="T135" s="4"/>
      <c r="U135" s="4"/>
      <c r="V135" s="5"/>
      <c r="W135" s="4"/>
      <c r="X135" s="4"/>
      <c r="Y135" s="5"/>
      <c r="Z135" s="4"/>
      <c r="AA135" s="4"/>
      <c r="AB135" s="5"/>
      <c r="AC135" s="4"/>
      <c r="AD135" s="4"/>
      <c r="AE135" s="5"/>
      <c r="AF135" s="4"/>
      <c r="AG135" s="4"/>
      <c r="AH135" s="5"/>
      <c r="AI135" s="4"/>
      <c r="AJ135" s="4"/>
      <c r="AK135" s="5"/>
      <c r="AL135" s="5">
        <f t="shared" si="33"/>
        <v>4010</v>
      </c>
      <c r="AM135" s="5">
        <f t="shared" si="34"/>
        <v>0</v>
      </c>
      <c r="AN135" s="5">
        <f t="shared" si="35"/>
        <v>4010</v>
      </c>
      <c r="AP135" s="5">
        <v>0</v>
      </c>
      <c r="AR135" s="24"/>
    </row>
    <row r="136" spans="1:44" x14ac:dyDescent="0.25">
      <c r="A136" s="3" t="s">
        <v>110</v>
      </c>
      <c r="B136" s="4"/>
      <c r="C136" s="4"/>
      <c r="D136" s="5">
        <f t="shared" si="27"/>
        <v>0</v>
      </c>
      <c r="E136" s="4"/>
      <c r="F136" s="4"/>
      <c r="G136" s="5">
        <f t="shared" si="28"/>
        <v>0</v>
      </c>
      <c r="H136" s="4"/>
      <c r="I136" s="4"/>
      <c r="J136" s="5">
        <f t="shared" si="29"/>
        <v>0</v>
      </c>
      <c r="K136" s="4"/>
      <c r="L136" s="4"/>
      <c r="M136" s="5">
        <f t="shared" si="30"/>
        <v>0</v>
      </c>
      <c r="N136" s="5">
        <f>52.36</f>
        <v>52.36</v>
      </c>
      <c r="O136" s="4"/>
      <c r="P136" s="5">
        <f t="shared" si="31"/>
        <v>52.36</v>
      </c>
      <c r="Q136" s="4"/>
      <c r="R136" s="4"/>
      <c r="S136" s="5">
        <f t="shared" si="32"/>
        <v>0</v>
      </c>
      <c r="T136" s="4"/>
      <c r="U136" s="4"/>
      <c r="V136" s="5"/>
      <c r="W136" s="4"/>
      <c r="X136" s="4"/>
      <c r="Y136" s="5"/>
      <c r="Z136" s="4"/>
      <c r="AA136" s="4"/>
      <c r="AB136" s="5"/>
      <c r="AC136" s="4"/>
      <c r="AD136" s="4"/>
      <c r="AE136" s="5"/>
      <c r="AF136" s="4"/>
      <c r="AG136" s="4"/>
      <c r="AH136" s="5"/>
      <c r="AI136" s="4"/>
      <c r="AJ136" s="4"/>
      <c r="AK136" s="5"/>
      <c r="AL136" s="5">
        <f t="shared" si="33"/>
        <v>52.36</v>
      </c>
      <c r="AM136" s="5">
        <f t="shared" si="34"/>
        <v>0</v>
      </c>
      <c r="AN136" s="5">
        <f t="shared" si="35"/>
        <v>52.36</v>
      </c>
      <c r="AP136" s="5">
        <v>0</v>
      </c>
      <c r="AR136" s="24"/>
    </row>
    <row r="137" spans="1:44" x14ac:dyDescent="0.25">
      <c r="A137" s="3" t="s">
        <v>111</v>
      </c>
      <c r="B137" s="6">
        <f>(((((B131)+(B132))+(B133))+(B134))+(B135))+(B136)</f>
        <v>2510</v>
      </c>
      <c r="C137" s="6">
        <f>(((((C131)+(C132))+(C133))+(C134))+(C135))+(C136)</f>
        <v>0</v>
      </c>
      <c r="D137" s="6">
        <f t="shared" si="27"/>
        <v>2510</v>
      </c>
      <c r="E137" s="6">
        <f>(((((E131)+(E132))+(E133))+(E134))+(E135))+(E136)</f>
        <v>6728.6</v>
      </c>
      <c r="F137" s="6">
        <f>(((((F131)+(F132))+(F133))+(F134))+(F135))+(F136)</f>
        <v>0</v>
      </c>
      <c r="G137" s="6">
        <f t="shared" si="28"/>
        <v>6728.6</v>
      </c>
      <c r="H137" s="6">
        <f>(((((H131)+(H132))+(H133))+(H134))+(H135))+(H136)</f>
        <v>3342.5</v>
      </c>
      <c r="I137" s="6">
        <f>(((((I131)+(I132))+(I133))+(I134))+(I135))+(I136)</f>
        <v>0</v>
      </c>
      <c r="J137" s="6">
        <f t="shared" si="29"/>
        <v>3342.5</v>
      </c>
      <c r="K137" s="6">
        <f>(((((K131)+(K132))+(K133))+(K134))+(K135))+(K136)</f>
        <v>506.25</v>
      </c>
      <c r="L137" s="6">
        <f>(((((L131)+(L132))+(L133))+(L134))+(L135))+(L136)</f>
        <v>0</v>
      </c>
      <c r="M137" s="6">
        <f t="shared" si="30"/>
        <v>506.25</v>
      </c>
      <c r="N137" s="6">
        <f>(((((N131)+(N132))+(N133))+(N134))+(N135))+(N136)</f>
        <v>2396.84</v>
      </c>
      <c r="O137" s="6">
        <f>(((((O131)+(O132))+(O133))+(O134))+(O135))+(O136)</f>
        <v>0</v>
      </c>
      <c r="P137" s="6">
        <f t="shared" si="31"/>
        <v>2396.84</v>
      </c>
      <c r="Q137" s="6">
        <f>(((((Q131)+(Q132))+(Q133))+(Q134))+(Q135))+(Q136)</f>
        <v>4666.1099999999997</v>
      </c>
      <c r="R137" s="6">
        <f>(((((R131)+(R132))+(R133))+(R134))+(R135))+(R136)</f>
        <v>0</v>
      </c>
      <c r="S137" s="6">
        <f t="shared" si="32"/>
        <v>4666.1099999999997</v>
      </c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>
        <f t="shared" si="33"/>
        <v>20150.3</v>
      </c>
      <c r="AM137" s="6">
        <f t="shared" si="34"/>
        <v>0</v>
      </c>
      <c r="AN137" s="6">
        <f t="shared" si="35"/>
        <v>20150.3</v>
      </c>
      <c r="AP137" s="6">
        <v>0</v>
      </c>
      <c r="AR137" s="24"/>
    </row>
    <row r="138" spans="1:44" x14ac:dyDescent="0.25">
      <c r="A138" s="3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P138" s="7"/>
      <c r="AR138" s="24"/>
    </row>
    <row r="139" spans="1:44" x14ac:dyDescent="0.25">
      <c r="A139" s="3" t="s">
        <v>112</v>
      </c>
      <c r="B139" s="6">
        <f>((B124)+(B129))+(B137)</f>
        <v>124131.68</v>
      </c>
      <c r="C139" s="6">
        <f>((C124)+(C129))+(C137)</f>
        <v>0</v>
      </c>
      <c r="D139" s="6">
        <f t="shared" si="27"/>
        <v>124131.68</v>
      </c>
      <c r="E139" s="6">
        <f>((E124)+(E129))+(E137)</f>
        <v>18266.599999999999</v>
      </c>
      <c r="F139" s="6">
        <f>((F124)+(F129))+(F137)</f>
        <v>0</v>
      </c>
      <c r="G139" s="6">
        <f t="shared" si="28"/>
        <v>18266.599999999999</v>
      </c>
      <c r="H139" s="6">
        <f>((H124)+(H129))+(H137)</f>
        <v>31604.5</v>
      </c>
      <c r="I139" s="6">
        <f>((I124)+(I129))+(I137)</f>
        <v>0</v>
      </c>
      <c r="J139" s="6">
        <f t="shared" si="29"/>
        <v>31604.5</v>
      </c>
      <c r="K139" s="6">
        <f>((K124)+(K129))+(K137)</f>
        <v>15352.880000000001</v>
      </c>
      <c r="L139" s="6">
        <f>((L124)+(L129))+(L137)</f>
        <v>0</v>
      </c>
      <c r="M139" s="6">
        <f t="shared" si="30"/>
        <v>15352.880000000001</v>
      </c>
      <c r="N139" s="6">
        <f>((N124)+(N129))+(N137)</f>
        <v>15450.84</v>
      </c>
      <c r="O139" s="6">
        <f>((O124)+(O129))+(O137)</f>
        <v>0</v>
      </c>
      <c r="P139" s="6">
        <f t="shared" si="31"/>
        <v>15450.84</v>
      </c>
      <c r="Q139" s="6">
        <f>((Q124)+(Q129))+(Q137)</f>
        <v>79128.11</v>
      </c>
      <c r="R139" s="6">
        <f>((R124)+(R129))+(R137)</f>
        <v>0</v>
      </c>
      <c r="S139" s="6">
        <f t="shared" si="32"/>
        <v>79128.11</v>
      </c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>
        <f t="shared" si="33"/>
        <v>283934.61</v>
      </c>
      <c r="AM139" s="6">
        <f t="shared" si="34"/>
        <v>0</v>
      </c>
      <c r="AN139" s="6">
        <f t="shared" si="35"/>
        <v>283934.61</v>
      </c>
      <c r="AP139" s="6">
        <v>0</v>
      </c>
      <c r="AR139" s="24"/>
    </row>
    <row r="140" spans="1:44" x14ac:dyDescent="0.25">
      <c r="A140" s="3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P140" s="7"/>
      <c r="AR140" s="24"/>
    </row>
    <row r="141" spans="1:44" x14ac:dyDescent="0.25">
      <c r="A141" s="22" t="s">
        <v>123</v>
      </c>
      <c r="B141" s="6">
        <f>(B118)-(B139)</f>
        <v>79950.609999999986</v>
      </c>
      <c r="C141" s="6">
        <f>(C118)-(C139)</f>
        <v>0</v>
      </c>
      <c r="D141" s="6">
        <f t="shared" si="27"/>
        <v>79950.609999999986</v>
      </c>
      <c r="E141" s="6">
        <f>(E118)-(E139)</f>
        <v>-102811.43</v>
      </c>
      <c r="F141" s="6">
        <f>(F118)-(F139)</f>
        <v>0</v>
      </c>
      <c r="G141" s="6">
        <f t="shared" si="28"/>
        <v>-102811.43</v>
      </c>
      <c r="H141" s="6">
        <f>(H118)-(H139)</f>
        <v>-57265.67</v>
      </c>
      <c r="I141" s="6">
        <f>(I118)-(I139)</f>
        <v>0</v>
      </c>
      <c r="J141" s="6">
        <f t="shared" si="29"/>
        <v>-57265.67</v>
      </c>
      <c r="K141" s="6">
        <f>(K118)-(K139)</f>
        <v>2479.4399999999987</v>
      </c>
      <c r="L141" s="6">
        <f>(L118)-(L139)</f>
        <v>0</v>
      </c>
      <c r="M141" s="6">
        <f t="shared" si="30"/>
        <v>2479.4399999999987</v>
      </c>
      <c r="N141" s="6">
        <f>(N118)-(N139)</f>
        <v>34868.430000000008</v>
      </c>
      <c r="O141" s="6">
        <f>(O118)-(O139)</f>
        <v>0</v>
      </c>
      <c r="P141" s="6">
        <f t="shared" si="31"/>
        <v>34868.430000000008</v>
      </c>
      <c r="Q141" s="6">
        <f>(Q118)-(Q139)</f>
        <v>-33001.25</v>
      </c>
      <c r="R141" s="6">
        <f>(R118)-(R139)</f>
        <v>0</v>
      </c>
      <c r="S141" s="6">
        <f t="shared" si="32"/>
        <v>-33001.25</v>
      </c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>
        <f t="shared" si="33"/>
        <v>-75779.87</v>
      </c>
      <c r="AM141" s="6">
        <f t="shared" si="34"/>
        <v>0</v>
      </c>
      <c r="AN141" s="6">
        <f t="shared" si="35"/>
        <v>-75779.87</v>
      </c>
      <c r="AP141" s="6">
        <v>0</v>
      </c>
      <c r="AR141" s="24"/>
    </row>
    <row r="142" spans="1:44" x14ac:dyDescent="0.25">
      <c r="A142" s="22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P142" s="7"/>
      <c r="AR142" s="24"/>
    </row>
    <row r="143" spans="1:44" ht="15.75" thickBot="1" x14ac:dyDescent="0.3">
      <c r="A143" s="17" t="s">
        <v>124</v>
      </c>
      <c r="B143" s="7">
        <f>(B102)+(B141)</f>
        <v>86995.419999999984</v>
      </c>
      <c r="C143" s="7">
        <f>(C102)+(C141)</f>
        <v>3768</v>
      </c>
      <c r="D143" s="7">
        <f t="shared" si="27"/>
        <v>83227.419999999984</v>
      </c>
      <c r="E143" s="7">
        <f>(E102)+(E141)</f>
        <v>-119041.22</v>
      </c>
      <c r="F143" s="7">
        <f>(F102)+(F141)</f>
        <v>-10192</v>
      </c>
      <c r="G143" s="7">
        <f t="shared" si="28"/>
        <v>-108849.22</v>
      </c>
      <c r="H143" s="7">
        <f>(H102)+(H141)</f>
        <v>-86036.94</v>
      </c>
      <c r="I143" s="7">
        <f>(I102)+(I141)</f>
        <v>2961</v>
      </c>
      <c r="J143" s="7">
        <f t="shared" si="29"/>
        <v>-88997.94</v>
      </c>
      <c r="K143" s="7">
        <f>(K102)+(K141)</f>
        <v>8552.9999999999964</v>
      </c>
      <c r="L143" s="7">
        <f>(L102)+(L141)</f>
        <v>742</v>
      </c>
      <c r="M143" s="7">
        <f t="shared" si="30"/>
        <v>7810.9999999999964</v>
      </c>
      <c r="N143" s="7">
        <f>(N102)+(N141)</f>
        <v>72476.770000000019</v>
      </c>
      <c r="O143" s="7">
        <f>(O102)+(O141)</f>
        <v>26152</v>
      </c>
      <c r="P143" s="7">
        <f t="shared" si="31"/>
        <v>46324.770000000019</v>
      </c>
      <c r="Q143" s="7">
        <f>(Q102)+(Q141)</f>
        <v>-38865.070000000007</v>
      </c>
      <c r="R143" s="7">
        <f>(R102)+(R141)</f>
        <v>-14877</v>
      </c>
      <c r="S143" s="7">
        <f t="shared" si="32"/>
        <v>-23988.070000000007</v>
      </c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23">
        <f t="shared" si="33"/>
        <v>-75918.040000000008</v>
      </c>
      <c r="AM143" s="23">
        <f t="shared" si="34"/>
        <v>8554</v>
      </c>
      <c r="AN143" s="23">
        <f t="shared" si="35"/>
        <v>-84472.040000000008</v>
      </c>
      <c r="AP143" s="23">
        <v>2454</v>
      </c>
      <c r="AR143" s="24"/>
    </row>
    <row r="144" spans="1:44" ht="15.75" thickTop="1" x14ac:dyDescent="0.2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P144" s="4"/>
      <c r="AR144" s="24"/>
    </row>
    <row r="145" spans="44:44" x14ac:dyDescent="0.25">
      <c r="AR145" s="24"/>
    </row>
  </sheetData>
  <mergeCells count="13">
    <mergeCell ref="B5:D5"/>
    <mergeCell ref="E5:G5"/>
    <mergeCell ref="H5:J5"/>
    <mergeCell ref="K5:M5"/>
    <mergeCell ref="N5:P5"/>
    <mergeCell ref="AF5:AH5"/>
    <mergeCell ref="AI5:AK5"/>
    <mergeCell ref="AL5:AN5"/>
    <mergeCell ref="Q5:S5"/>
    <mergeCell ref="T5:V5"/>
    <mergeCell ref="W5:Y5"/>
    <mergeCell ref="Z5:AB5"/>
    <mergeCell ref="AC5:AE5"/>
  </mergeCells>
  <pageMargins left="0.2" right="0.2" top="0.75" bottom="0.75" header="0.3" footer="0.3"/>
  <pageSetup scale="80" orientation="portrait" r:id="rId1"/>
  <rowBreaks count="2" manualBreakCount="2">
    <brk id="57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vs. Actuals</vt:lpstr>
      <vt:lpstr>'Budget vs. Actuals'!Print_Titles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</cp:lastModifiedBy>
  <cp:lastPrinted>2018-07-23T20:29:28Z</cp:lastPrinted>
  <dcterms:created xsi:type="dcterms:W3CDTF">2018-07-23T18:45:10Z</dcterms:created>
  <dcterms:modified xsi:type="dcterms:W3CDTF">2018-07-23T20:31:10Z</dcterms:modified>
</cp:coreProperties>
</file>